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ŠOLA ZDRAVJA\Desktop\MATERIALI OBČNI ZBOR\"/>
    </mc:Choice>
  </mc:AlternateContent>
  <xr:revisionPtr revIDLastSave="0" documentId="8_{F513326E-8792-46A6-93D9-7EE234AEE60B}" xr6:coauthVersionLast="45" xr6:coauthVersionMax="45" xr10:uidLastSave="{00000000-0000-0000-0000-000000000000}"/>
  <bookViews>
    <workbookView xWindow="-120" yWindow="-120" windowWidth="30960" windowHeight="16920" firstSheet="2" activeTab="2" xr2:uid="{00000000-000D-0000-FFFF-FFFF00000000}"/>
  </bookViews>
  <sheets>
    <sheet name="FINANČNI PLAN 2019" sheetId="1" state="hidden" r:id="rId1"/>
    <sheet name="IZRAČUN INDEKS %" sheetId="2" state="hidden" r:id="rId2"/>
    <sheet name="BILANCA IZ ČLANARINE 2019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1" i="3" l="1"/>
  <c r="F76" i="3" l="1"/>
  <c r="G76" i="3" s="1"/>
  <c r="F22" i="3"/>
  <c r="G113" i="3"/>
  <c r="G112" i="3"/>
  <c r="G99" i="3"/>
  <c r="G98" i="3"/>
  <c r="G97" i="3"/>
  <c r="G96" i="3"/>
  <c r="G95" i="3"/>
  <c r="G94" i="3"/>
  <c r="G93" i="3"/>
  <c r="G92" i="3"/>
  <c r="G91" i="3"/>
  <c r="G89" i="3"/>
  <c r="G88" i="3"/>
  <c r="G87" i="3"/>
  <c r="G67" i="3"/>
  <c r="F101" i="3"/>
  <c r="E101" i="3"/>
  <c r="E104" i="3"/>
  <c r="E118" i="3"/>
  <c r="E119" i="3" l="1"/>
  <c r="F119" i="3" s="1"/>
  <c r="F130" i="3"/>
  <c r="F125" i="3"/>
  <c r="F59" i="3"/>
  <c r="F78" i="3"/>
  <c r="G78" i="3" s="1"/>
  <c r="F74" i="3"/>
  <c r="G74" i="3" s="1"/>
  <c r="F90" i="3"/>
  <c r="G90" i="3" s="1"/>
  <c r="F124" i="3"/>
  <c r="F127" i="3"/>
  <c r="F126" i="3"/>
  <c r="F106" i="3"/>
  <c r="G106" i="3" s="1"/>
  <c r="F77" i="3"/>
  <c r="G77" i="3" s="1"/>
  <c r="G130" i="3" l="1"/>
  <c r="G128" i="3"/>
  <c r="G127" i="3"/>
  <c r="G126" i="3"/>
  <c r="G125" i="3"/>
  <c r="G124" i="3"/>
  <c r="G140" i="3"/>
  <c r="G139" i="3"/>
  <c r="G138" i="3"/>
  <c r="G137" i="3"/>
  <c r="G136" i="3"/>
  <c r="G135" i="3"/>
  <c r="G134" i="3"/>
  <c r="G133" i="3"/>
  <c r="G132" i="3"/>
  <c r="G123" i="3"/>
  <c r="G119" i="3"/>
  <c r="G118" i="3"/>
  <c r="G107" i="3"/>
  <c r="G105" i="3"/>
  <c r="G104" i="3"/>
  <c r="G103" i="3"/>
  <c r="G102" i="3"/>
  <c r="G101" i="3"/>
  <c r="G84" i="3"/>
  <c r="G83" i="3"/>
  <c r="G70" i="3"/>
  <c r="G62" i="3"/>
  <c r="G61" i="3"/>
  <c r="G60" i="3"/>
  <c r="G54" i="3"/>
  <c r="G53" i="3"/>
  <c r="G52" i="3"/>
  <c r="G51" i="3"/>
  <c r="G50" i="3"/>
  <c r="G49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7" i="3"/>
  <c r="F86" i="3"/>
  <c r="G86" i="3" s="1"/>
  <c r="F72" i="3"/>
  <c r="G72" i="3" s="1"/>
  <c r="F69" i="3"/>
  <c r="F71" i="3" s="1"/>
  <c r="F65" i="3"/>
  <c r="F66" i="3" s="1"/>
  <c r="F56" i="3"/>
  <c r="G56" i="3" s="1"/>
  <c r="F55" i="3"/>
  <c r="G55" i="3" s="1"/>
  <c r="F68" i="3"/>
  <c r="F17" i="3"/>
  <c r="D120" i="3"/>
  <c r="D119" i="3"/>
  <c r="C104" i="3"/>
  <c r="C101" i="3"/>
  <c r="B118" i="3"/>
  <c r="C72" i="3"/>
  <c r="G85" i="3"/>
  <c r="G65" i="3" l="1"/>
  <c r="G69" i="3"/>
  <c r="F121" i="3"/>
  <c r="F73" i="3"/>
  <c r="F63" i="3"/>
  <c r="C67" i="3"/>
  <c r="C118" i="3"/>
  <c r="C121" i="3" s="1"/>
  <c r="E100" i="3" l="1"/>
  <c r="G100" i="3" s="1"/>
  <c r="E75" i="3"/>
  <c r="F75" i="3" s="1"/>
  <c r="E64" i="3"/>
  <c r="G64" i="3" s="1"/>
  <c r="E59" i="3"/>
  <c r="G59" i="3" s="1"/>
  <c r="E120" i="3"/>
  <c r="G120" i="3" s="1"/>
  <c r="E129" i="3"/>
  <c r="E73" i="3"/>
  <c r="G73" i="3" s="1"/>
  <c r="E68" i="3"/>
  <c r="G68" i="3" s="1"/>
  <c r="E71" i="3"/>
  <c r="G71" i="3" s="1"/>
  <c r="E63" i="3" l="1"/>
  <c r="G63" i="3" s="1"/>
  <c r="E66" i="3"/>
  <c r="G66" i="3" s="1"/>
  <c r="F79" i="3"/>
  <c r="G75" i="3"/>
  <c r="E131" i="3"/>
  <c r="F129" i="3"/>
  <c r="E79" i="3"/>
  <c r="E121" i="3"/>
  <c r="G121" i="3" s="1"/>
  <c r="E9" i="3"/>
  <c r="E14" i="3" s="1"/>
  <c r="G79" i="3" l="1"/>
  <c r="F122" i="3"/>
  <c r="E122" i="3"/>
  <c r="G129" i="3"/>
  <c r="F131" i="3"/>
  <c r="E17" i="3"/>
  <c r="G17" i="3" s="1"/>
  <c r="G14" i="3"/>
  <c r="C14" i="3"/>
  <c r="G122" i="3" l="1"/>
  <c r="E141" i="3"/>
  <c r="E142" i="3" s="1"/>
  <c r="G131" i="3"/>
  <c r="F141" i="3"/>
  <c r="F142" i="3" s="1"/>
  <c r="D140" i="3"/>
  <c r="D139" i="3"/>
  <c r="D138" i="3"/>
  <c r="D137" i="3"/>
  <c r="D136" i="3"/>
  <c r="D135" i="3"/>
  <c r="D134" i="3"/>
  <c r="D133" i="3"/>
  <c r="D130" i="3"/>
  <c r="D127" i="3"/>
  <c r="D125" i="3"/>
  <c r="D124" i="3"/>
  <c r="D118" i="3"/>
  <c r="D116" i="3"/>
  <c r="D105" i="3"/>
  <c r="D104" i="3"/>
  <c r="D101" i="3"/>
  <c r="D100" i="3"/>
  <c r="D98" i="3"/>
  <c r="D90" i="3"/>
  <c r="D87" i="3"/>
  <c r="D85" i="3"/>
  <c r="D81" i="3"/>
  <c r="D74" i="3"/>
  <c r="D72" i="3"/>
  <c r="D70" i="3"/>
  <c r="D69" i="3"/>
  <c r="D67" i="3"/>
  <c r="D65" i="3"/>
  <c r="D64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0" i="3"/>
  <c r="D19" i="3"/>
  <c r="D18" i="3"/>
  <c r="D15" i="3"/>
  <c r="C129" i="3"/>
  <c r="C131" i="3" s="1"/>
  <c r="B126" i="3"/>
  <c r="D126" i="3" s="1"/>
  <c r="B107" i="3"/>
  <c r="D107" i="3" s="1"/>
  <c r="B106" i="3"/>
  <c r="D106" i="3" s="1"/>
  <c r="D83" i="3"/>
  <c r="C79" i="3"/>
  <c r="B78" i="3"/>
  <c r="D78" i="3" s="1"/>
  <c r="B77" i="3"/>
  <c r="D77" i="3" s="1"/>
  <c r="B76" i="3"/>
  <c r="D76" i="3" s="1"/>
  <c r="B75" i="3"/>
  <c r="D75" i="3" s="1"/>
  <c r="C73" i="3"/>
  <c r="B73" i="3"/>
  <c r="C71" i="3"/>
  <c r="B71" i="3"/>
  <c r="B68" i="3"/>
  <c r="C66" i="3"/>
  <c r="B66" i="3"/>
  <c r="C63" i="3"/>
  <c r="B63" i="3"/>
  <c r="C17" i="3"/>
  <c r="D13" i="3"/>
  <c r="B9" i="3"/>
  <c r="B14" i="3" s="1"/>
  <c r="D14" i="3" s="1"/>
  <c r="D7" i="3"/>
  <c r="G142" i="3" l="1"/>
  <c r="G141" i="3"/>
  <c r="D66" i="3"/>
  <c r="B129" i="3"/>
  <c r="B131" i="3" s="1"/>
  <c r="D131" i="3" s="1"/>
  <c r="D73" i="3"/>
  <c r="D63" i="3"/>
  <c r="D71" i="3"/>
  <c r="D17" i="3"/>
  <c r="D9" i="3"/>
  <c r="B79" i="3"/>
  <c r="D79" i="3" s="1"/>
  <c r="B142" i="3"/>
  <c r="C74" i="1"/>
  <c r="C15" i="1"/>
  <c r="C17" i="1"/>
  <c r="H123" i="1"/>
  <c r="H5" i="1"/>
  <c r="D129" i="3" l="1"/>
  <c r="C123" i="1"/>
  <c r="E113" i="1"/>
  <c r="E118" i="2" l="1"/>
  <c r="C3" i="2"/>
  <c r="E3" i="2" s="1"/>
  <c r="C113" i="2"/>
  <c r="E113" i="2" s="1"/>
  <c r="C102" i="2"/>
  <c r="E102" i="2" s="1"/>
  <c r="C119" i="2"/>
  <c r="C121" i="2" s="1"/>
  <c r="E14" i="2"/>
  <c r="C74" i="2"/>
  <c r="E74" i="2" s="1"/>
  <c r="E15" i="2"/>
  <c r="C64" i="2"/>
  <c r="C72" i="2"/>
  <c r="C101" i="2"/>
  <c r="E101" i="2" s="1"/>
  <c r="C73" i="2"/>
  <c r="E73" i="2" s="1"/>
  <c r="C71" i="2"/>
  <c r="E71" i="2" s="1"/>
  <c r="C5" i="2"/>
  <c r="E5" i="2" s="1"/>
  <c r="C6" i="2"/>
  <c r="E6" i="2" s="1"/>
  <c r="E131" i="2"/>
  <c r="E130" i="2"/>
  <c r="E129" i="2"/>
  <c r="E128" i="2"/>
  <c r="E127" i="2"/>
  <c r="E126" i="2"/>
  <c r="E125" i="2"/>
  <c r="E122" i="2"/>
  <c r="E120" i="2"/>
  <c r="E117" i="2"/>
  <c r="E111" i="2"/>
  <c r="E108" i="2"/>
  <c r="E107" i="2"/>
  <c r="E104" i="2"/>
  <c r="E100" i="2"/>
  <c r="E99" i="2"/>
  <c r="E98" i="2"/>
  <c r="E96" i="2"/>
  <c r="E95" i="2"/>
  <c r="E94" i="2"/>
  <c r="E93" i="2"/>
  <c r="E92" i="2"/>
  <c r="E86" i="2"/>
  <c r="E85" i="2"/>
  <c r="E84" i="2"/>
  <c r="E83" i="2"/>
  <c r="E82" i="2"/>
  <c r="E81" i="2"/>
  <c r="E77" i="2"/>
  <c r="E72" i="2"/>
  <c r="E70" i="2"/>
  <c r="E68" i="2"/>
  <c r="E66" i="2"/>
  <c r="E65" i="2"/>
  <c r="E61" i="2"/>
  <c r="E60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2" i="2"/>
  <c r="E10" i="2"/>
  <c r="E9" i="2"/>
  <c r="E8" i="2"/>
  <c r="E7" i="2"/>
  <c r="E4" i="2"/>
  <c r="C79" i="2"/>
  <c r="E79" i="2" s="1"/>
  <c r="D123" i="2"/>
  <c r="D116" i="2"/>
  <c r="D75" i="2"/>
  <c r="D69" i="2"/>
  <c r="D67" i="2"/>
  <c r="D62" i="2"/>
  <c r="D59" i="2"/>
  <c r="D13" i="2"/>
  <c r="C62" i="2"/>
  <c r="C69" i="2"/>
  <c r="E121" i="2" l="1"/>
  <c r="C123" i="2"/>
  <c r="E123" i="2" s="1"/>
  <c r="E69" i="2"/>
  <c r="C11" i="2"/>
  <c r="E11" i="2" s="1"/>
  <c r="E13" i="2"/>
  <c r="E62" i="2"/>
  <c r="C67" i="2"/>
  <c r="E67" i="2" s="1"/>
  <c r="C59" i="2"/>
  <c r="E59" i="2" s="1"/>
  <c r="C75" i="2"/>
  <c r="E75" i="2" s="1"/>
  <c r="C133" i="1"/>
  <c r="C125" i="1"/>
  <c r="U124" i="1"/>
  <c r="C122" i="1"/>
  <c r="T121" i="1"/>
  <c r="T124" i="1" s="1"/>
  <c r="S121" i="1"/>
  <c r="S124" i="1" s="1"/>
  <c r="R121" i="1"/>
  <c r="R124" i="1" s="1"/>
  <c r="Q121" i="1"/>
  <c r="Q124" i="1" s="1"/>
  <c r="P121" i="1"/>
  <c r="P124" i="1" s="1"/>
  <c r="O121" i="1"/>
  <c r="O124" i="1" s="1"/>
  <c r="N121" i="1"/>
  <c r="N124" i="1" s="1"/>
  <c r="M121" i="1"/>
  <c r="M124" i="1" s="1"/>
  <c r="L121" i="1"/>
  <c r="L124" i="1" s="1"/>
  <c r="K121" i="1"/>
  <c r="K124" i="1" s="1"/>
  <c r="J121" i="1"/>
  <c r="J124" i="1" s="1"/>
  <c r="I121" i="1"/>
  <c r="I124" i="1" s="1"/>
  <c r="H121" i="1"/>
  <c r="H124" i="1" s="1"/>
  <c r="G121" i="1"/>
  <c r="G124" i="1" s="1"/>
  <c r="F121" i="1"/>
  <c r="F124" i="1" s="1"/>
  <c r="E121" i="1"/>
  <c r="E124" i="1" s="1"/>
  <c r="D121" i="1"/>
  <c r="D124" i="1" s="1"/>
  <c r="C120" i="1"/>
  <c r="C119" i="1"/>
  <c r="C118" i="1"/>
  <c r="C117" i="1"/>
  <c r="C116" i="1"/>
  <c r="U114" i="1"/>
  <c r="T114" i="1"/>
  <c r="S114" i="1"/>
  <c r="R114" i="1"/>
  <c r="Q114" i="1"/>
  <c r="P114" i="1"/>
  <c r="O114" i="1"/>
  <c r="N114" i="1"/>
  <c r="M114" i="1"/>
  <c r="L114" i="1"/>
  <c r="K114" i="1"/>
  <c r="J114" i="1"/>
  <c r="I114" i="1"/>
  <c r="H114" i="1"/>
  <c r="G114" i="1"/>
  <c r="F114" i="1"/>
  <c r="E114" i="1"/>
  <c r="D114" i="1"/>
  <c r="C113" i="1"/>
  <c r="C112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6" i="1"/>
  <c r="C78" i="1" s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3" i="1"/>
  <c r="C72" i="1"/>
  <c r="C71" i="1"/>
  <c r="C70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8" i="1"/>
  <c r="C69" i="1" s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6" i="1"/>
  <c r="C65" i="1"/>
  <c r="D64" i="1"/>
  <c r="C63" i="1"/>
  <c r="C64" i="1" s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1" i="1"/>
  <c r="C60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8" i="1"/>
  <c r="C57" i="1"/>
  <c r="C56" i="1"/>
  <c r="C55" i="1"/>
  <c r="C54" i="1"/>
  <c r="C53" i="1"/>
  <c r="C52" i="1"/>
  <c r="C51" i="1"/>
  <c r="C18" i="1"/>
  <c r="U11" i="1"/>
  <c r="U13" i="1" s="1"/>
  <c r="T11" i="1"/>
  <c r="T13" i="1" s="1"/>
  <c r="S11" i="1"/>
  <c r="S13" i="1" s="1"/>
  <c r="R11" i="1"/>
  <c r="R13" i="1" s="1"/>
  <c r="Q11" i="1"/>
  <c r="Q13" i="1" s="1"/>
  <c r="P11" i="1"/>
  <c r="P13" i="1" s="1"/>
  <c r="O11" i="1"/>
  <c r="O13" i="1" s="1"/>
  <c r="N11" i="1"/>
  <c r="N13" i="1" s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0" i="1"/>
  <c r="C9" i="1"/>
  <c r="C8" i="1"/>
  <c r="C7" i="1"/>
  <c r="C6" i="1"/>
  <c r="C5" i="1"/>
  <c r="C4" i="1"/>
  <c r="C3" i="1"/>
  <c r="C62" i="1" l="1"/>
  <c r="I115" i="1"/>
  <c r="M115" i="1"/>
  <c r="Q115" i="1"/>
  <c r="U115" i="1"/>
  <c r="U134" i="1" s="1"/>
  <c r="U135" i="1" s="1"/>
  <c r="F115" i="1"/>
  <c r="J115" i="1"/>
  <c r="J134" i="1" s="1"/>
  <c r="J135" i="1" s="1"/>
  <c r="N115" i="1"/>
  <c r="N134" i="1" s="1"/>
  <c r="N135" i="1" s="1"/>
  <c r="R115" i="1"/>
  <c r="R134" i="1" s="1"/>
  <c r="R135" i="1" s="1"/>
  <c r="F134" i="1"/>
  <c r="K115" i="1"/>
  <c r="K134" i="1" s="1"/>
  <c r="K135" i="1" s="1"/>
  <c r="S115" i="1"/>
  <c r="S134" i="1" s="1"/>
  <c r="S135" i="1" s="1"/>
  <c r="C133" i="2"/>
  <c r="C134" i="2" s="1"/>
  <c r="L115" i="1"/>
  <c r="L134" i="1" s="1"/>
  <c r="L135" i="1" s="1"/>
  <c r="T115" i="1"/>
  <c r="T134" i="1" s="1"/>
  <c r="T135" i="1" s="1"/>
  <c r="C67" i="1"/>
  <c r="C115" i="2"/>
  <c r="C75" i="1"/>
  <c r="E115" i="1"/>
  <c r="E134" i="1" s="1"/>
  <c r="E135" i="1" s="1"/>
  <c r="O115" i="1"/>
  <c r="O134" i="1" s="1"/>
  <c r="O135" i="1" s="1"/>
  <c r="H115" i="1"/>
  <c r="H134" i="1" s="1"/>
  <c r="H135" i="1" s="1"/>
  <c r="C114" i="1"/>
  <c r="G115" i="1"/>
  <c r="G134" i="1" s="1"/>
  <c r="G135" i="1" s="1"/>
  <c r="P115" i="1"/>
  <c r="P134" i="1" s="1"/>
  <c r="P135" i="1" s="1"/>
  <c r="D115" i="1"/>
  <c r="D134" i="1" s="1"/>
  <c r="D135" i="1" s="1"/>
  <c r="C59" i="1"/>
  <c r="F135" i="1"/>
  <c r="I134" i="1"/>
  <c r="I135" i="1" s="1"/>
  <c r="M134" i="1"/>
  <c r="M135" i="1" s="1"/>
  <c r="Q134" i="1"/>
  <c r="Q135" i="1" s="1"/>
  <c r="C11" i="1"/>
  <c r="C13" i="1" s="1"/>
  <c r="C121" i="1"/>
  <c r="C124" i="1" s="1"/>
  <c r="C115" i="1" l="1"/>
  <c r="C134" i="1" s="1"/>
  <c r="C135" i="1" s="1"/>
  <c r="D132" i="2"/>
  <c r="C68" i="3"/>
  <c r="B122" i="3"/>
  <c r="D68" i="3" l="1"/>
  <c r="C122" i="3"/>
  <c r="C141" i="3" s="1"/>
  <c r="D121" i="3"/>
  <c r="D122" i="3" l="1"/>
  <c r="C142" i="3"/>
  <c r="D142" i="3" s="1"/>
  <c r="D141" i="3"/>
  <c r="D134" i="2"/>
  <c r="D133" i="2"/>
  <c r="D115" i="2"/>
  <c r="E124" i="2"/>
  <c r="D124" i="2"/>
  <c r="C124" i="2"/>
  <c r="D91" i="2"/>
  <c r="C91" i="2"/>
  <c r="E91" i="2"/>
  <c r="D88" i="2"/>
  <c r="C88" i="2"/>
  <c r="E88" i="2"/>
  <c r="E105" i="2"/>
  <c r="D105" i="2"/>
  <c r="C105" i="2"/>
  <c r="B82" i="3"/>
  <c r="B80" i="3"/>
  <c r="E106" i="2"/>
  <c r="D106" i="2"/>
  <c r="C106" i="2"/>
  <c r="E112" i="2"/>
  <c r="D112" i="2"/>
  <c r="C112" i="2"/>
  <c r="D87" i="2"/>
  <c r="C87" i="2"/>
  <c r="E87" i="2"/>
  <c r="E103" i="2"/>
  <c r="D103" i="2"/>
  <c r="C103" i="2"/>
  <c r="B115" i="3"/>
  <c r="C115" i="3"/>
  <c r="D115" i="3"/>
  <c r="D114" i="3"/>
  <c r="C114" i="3"/>
  <c r="B114" i="3"/>
  <c r="D132" i="3"/>
  <c r="C132" i="3"/>
  <c r="B132" i="3"/>
  <c r="D110" i="2"/>
  <c r="C110" i="2"/>
  <c r="E110" i="2"/>
  <c r="B102" i="3"/>
  <c r="C102" i="3"/>
  <c r="D102" i="3"/>
  <c r="D97" i="2"/>
  <c r="C97" i="2"/>
  <c r="E97" i="2"/>
  <c r="E89" i="2"/>
  <c r="D89" i="2"/>
  <c r="C89" i="2"/>
  <c r="E63" i="2"/>
  <c r="D63" i="2"/>
  <c r="D64" i="2"/>
  <c r="E64" i="2"/>
  <c r="D109" i="2"/>
  <c r="C109" i="2"/>
  <c r="E109" i="2"/>
  <c r="D90" i="2"/>
  <c r="C90" i="2"/>
  <c r="E90" i="2"/>
  <c r="D95" i="3"/>
  <c r="C95" i="3"/>
  <c r="B95" i="3"/>
  <c r="B94" i="3"/>
  <c r="C94" i="3"/>
  <c r="D94" i="3"/>
  <c r="D82" i="3"/>
  <c r="D80" i="3"/>
  <c r="C80" i="3"/>
  <c r="C82" i="3"/>
  <c r="B111" i="3"/>
  <c r="C111" i="3"/>
  <c r="D111" i="3"/>
  <c r="D78" i="2"/>
  <c r="C80" i="2"/>
  <c r="E80" i="2"/>
  <c r="D80" i="2"/>
  <c r="D114" i="2"/>
  <c r="E78" i="2"/>
  <c r="E76" i="2"/>
  <c r="D76" i="2"/>
  <c r="C76" i="2"/>
  <c r="C78" i="2"/>
  <c r="D93" i="3"/>
  <c r="C93" i="3"/>
  <c r="B93" i="3"/>
  <c r="D117" i="3"/>
  <c r="C117" i="3"/>
  <c r="B117" i="3"/>
  <c r="D108" i="3"/>
  <c r="C108" i="3"/>
  <c r="B108" i="3"/>
  <c r="D84" i="3"/>
  <c r="C84" i="3"/>
  <c r="B84" i="3"/>
  <c r="D92" i="3"/>
  <c r="C92" i="3"/>
  <c r="B92" i="3"/>
  <c r="D96" i="3"/>
  <c r="C96" i="3"/>
  <c r="B96" i="3"/>
  <c r="D110" i="3"/>
  <c r="C110" i="3"/>
  <c r="B110" i="3"/>
</calcChain>
</file>

<file path=xl/sharedStrings.xml><?xml version="1.0" encoding="utf-8"?>
<sst xmlns="http://schemas.openxmlformats.org/spreadsheetml/2006/main" count="401" uniqueCount="186">
  <si>
    <t>KONTO</t>
  </si>
  <si>
    <t>šus</t>
  </si>
  <si>
    <t>NAZIV</t>
  </si>
  <si>
    <t>Prihodki od prodaje storitev</t>
  </si>
  <si>
    <t xml:space="preserve">Prihodki prejeti od članov </t>
  </si>
  <si>
    <t xml:space="preserve">Dotacije iz prorač.in drugih </t>
  </si>
  <si>
    <t>Donac. drugih prav. In fiz.oseb+MOL</t>
  </si>
  <si>
    <t>Prihodki - spletna stran</t>
  </si>
  <si>
    <t>Prih. od prodaje trg. blaga -tekstil</t>
  </si>
  <si>
    <t>0,5 % od dohodnine</t>
  </si>
  <si>
    <t>Prihodki od BUS</t>
  </si>
  <si>
    <t>POSLOVNI PRIHODKI</t>
  </si>
  <si>
    <t>DRUGI FINANČNI PRIHODKI</t>
  </si>
  <si>
    <t>P R I H O D K I</t>
  </si>
  <si>
    <t>Poslovni odhodki</t>
  </si>
  <si>
    <t>Bančne obresti od limita</t>
  </si>
  <si>
    <t>ODHODKI</t>
  </si>
  <si>
    <t>POSLOVNI ODHODKI-NV TEKSTIL</t>
  </si>
  <si>
    <t>Stroški materiala-časopis/DARIMA</t>
  </si>
  <si>
    <t>Občni zbor-dvorana, prevoz, malica</t>
  </si>
  <si>
    <t>NAJEM</t>
  </si>
  <si>
    <t>MALICA</t>
  </si>
  <si>
    <t>PREVOZ</t>
  </si>
  <si>
    <t>Srečanja: reg.vsaslo. Strokovni posvet Pira</t>
  </si>
  <si>
    <t>Piran</t>
  </si>
  <si>
    <t>regisjka 4x500</t>
  </si>
  <si>
    <t>Strokovni posvet</t>
  </si>
  <si>
    <t>Uspos.vaditeljev</t>
  </si>
  <si>
    <t>regijski posvet 10 X SAMA IZR</t>
  </si>
  <si>
    <t>USP.PROSTOVOLCEV 11 X SAMA IZ</t>
  </si>
  <si>
    <t>GRISHIN PO 300</t>
  </si>
  <si>
    <t>NAJEM DVORAN</t>
  </si>
  <si>
    <t>STROŠEK PISARNE</t>
  </si>
  <si>
    <t>KADRI:</t>
  </si>
  <si>
    <t>Plača Zdenka</t>
  </si>
  <si>
    <t>Neda</t>
  </si>
  <si>
    <t>Brigita</t>
  </si>
  <si>
    <t>Maja</t>
  </si>
  <si>
    <t>Šegina</t>
  </si>
  <si>
    <t>grishiin-dodatna predavanja 1ox</t>
  </si>
  <si>
    <t>Ubald MZ</t>
  </si>
  <si>
    <t>Oblikovalec kot Rok-s,p.</t>
  </si>
  <si>
    <t>Tatjana-vodja proj.prostovoljci</t>
  </si>
  <si>
    <t>Stroški elektrike</t>
  </si>
  <si>
    <t>Stroški zemeljskega plina</t>
  </si>
  <si>
    <t>Drobni inventar</t>
  </si>
  <si>
    <t>Stroški zbornik(pod Šegina M.)</t>
  </si>
  <si>
    <t>Stroški pis. mat.in strok. liter.</t>
  </si>
  <si>
    <t>Stroški zloženk</t>
  </si>
  <si>
    <t>Transparenti</t>
  </si>
  <si>
    <t>Str.priročnik 1000 gibov</t>
  </si>
  <si>
    <t>STROŠKI MATERIALA</t>
  </si>
  <si>
    <t>Stroški poštnih storitev</t>
  </si>
  <si>
    <t>Stroški telefona</t>
  </si>
  <si>
    <t>Konto 411 skupaj:</t>
  </si>
  <si>
    <t xml:space="preserve">Stroški vzdrževanja </t>
  </si>
  <si>
    <t>Konto 412 skupaj:</t>
  </si>
  <si>
    <t>Najemnina poslovnega prostora</t>
  </si>
  <si>
    <t>Najemnina fotokopirnega stroja</t>
  </si>
  <si>
    <t>Konto 413 skupaj;</t>
  </si>
  <si>
    <t>Stroški plačilnega prometa</t>
  </si>
  <si>
    <t>Konto 415 skupaj:</t>
  </si>
  <si>
    <t>Stroški računovodskega servisa</t>
  </si>
  <si>
    <t>Str.amdinistracije Brigita</t>
  </si>
  <si>
    <t>Poslovne storitve, Neda Galijaš s.p.</t>
  </si>
  <si>
    <t>Poslovne storitve, Maja Nagode s.p.</t>
  </si>
  <si>
    <t>Stroški storitev Miomira Šegina+ZBORNIK</t>
  </si>
  <si>
    <t>Konto 416 skupaj:</t>
  </si>
  <si>
    <t>Str. Promoviranja</t>
  </si>
  <si>
    <t>Izveski skupine šola zdravja</t>
  </si>
  <si>
    <t>Konto 417 skupaj:</t>
  </si>
  <si>
    <t>Stroški- 20% članarine(skupaj 11.960-plan čl.)</t>
  </si>
  <si>
    <t>Bus prevoz Zagreb</t>
  </si>
  <si>
    <t>Stroški drugih storitev-ozvočenje</t>
  </si>
  <si>
    <t>Str.drugih storitev-kopiranje</t>
  </si>
  <si>
    <t>Radijski oglasi</t>
  </si>
  <si>
    <t>Stroški tematskega usposabljanja-slov.filan.</t>
  </si>
  <si>
    <t>Str,izobraževanj,seminarjev</t>
  </si>
  <si>
    <t>Str.članarine Športnaunija Slovenije</t>
  </si>
  <si>
    <t>Drugi stroški</t>
  </si>
  <si>
    <t>Drugi stroški - zloženke</t>
  </si>
  <si>
    <t>Drugi stroški - lektoriranje časopisa</t>
  </si>
  <si>
    <t>Strokovna pomoč pri razpisih</t>
  </si>
  <si>
    <t>Materiali prostovoljci</t>
  </si>
  <si>
    <t>Vezenje in tisk tekstila</t>
  </si>
  <si>
    <t>Najem  dvorane</t>
  </si>
  <si>
    <t>Str.vseh srečanj/vsesl.,reg.,strok.posvet</t>
  </si>
  <si>
    <t xml:space="preserve"> Str,oblačil za pevke ter pesmarica</t>
  </si>
  <si>
    <t xml:space="preserve"> Str.vodje projekta-Tatjana Tomažič</t>
  </si>
  <si>
    <t>Stroški pogostitev prostovoljcev</t>
  </si>
  <si>
    <t>Stroški Grishin kilometrina</t>
  </si>
  <si>
    <t>Stroški usposabljanja Grishin</t>
  </si>
  <si>
    <t>Nadomestila mat.str.prostovoljcem</t>
  </si>
  <si>
    <t>Stroški nagrad Štok in Potrpin</t>
  </si>
  <si>
    <t>Stroški storitev iz naslova humanitarne dej.</t>
  </si>
  <si>
    <t>Stroški storitev Miomira Šegina</t>
  </si>
  <si>
    <t xml:space="preserve"> Stroški storitve Ubald Trnkoczy</t>
  </si>
  <si>
    <t>Nagrade prostovoljci</t>
  </si>
  <si>
    <t>Montaža predstavitvenega spota Piran 2017</t>
  </si>
  <si>
    <t xml:space="preserve"> Str.zdravniškega pregleda-Tomažič Tatjana</t>
  </si>
  <si>
    <t>Druge storitve: (bus in druge storitve)</t>
  </si>
  <si>
    <t>Konto 419 skupaj:</t>
  </si>
  <si>
    <t>STROŠKI STORITEV</t>
  </si>
  <si>
    <t>AMORTIZACIJA OPREME</t>
  </si>
  <si>
    <t>Plače zaposlencev</t>
  </si>
  <si>
    <t xml:space="preserve"> Povračila str.( malica) </t>
  </si>
  <si>
    <t xml:space="preserve"> Povračika - potni nalogi</t>
  </si>
  <si>
    <t xml:space="preserve"> Regres</t>
  </si>
  <si>
    <t>Povračila str.zaposlencev</t>
  </si>
  <si>
    <t>Delodaj.prisp.od plač, nadom.pl.</t>
  </si>
  <si>
    <t>STROŠKI DELA</t>
  </si>
  <si>
    <t>Drugi stroški/prostovoljci</t>
  </si>
  <si>
    <t>DRUGI STROŠKI SKUPAJ:</t>
  </si>
  <si>
    <t xml:space="preserve">S T R O Š K I </t>
  </si>
  <si>
    <t xml:space="preserve"> F I N A N Č N I   R E Z U L T A T  2018:</t>
  </si>
  <si>
    <t>PLAN 2018</t>
  </si>
  <si>
    <t>REALIZACIJA 2018</t>
  </si>
  <si>
    <t>INDEKS V %</t>
  </si>
  <si>
    <t>Stroški- 20% članarine</t>
  </si>
  <si>
    <t>IME PRIHODKA OZ. ODHODKA</t>
  </si>
  <si>
    <t>Stroški usposabljanja Grishin in Andraž ter Mojca</t>
  </si>
  <si>
    <t>PLANIRANI F I N A N Č N I   R E Z U L T A T  2019</t>
  </si>
  <si>
    <t>PLAN DRUŠTVO ŠOLA ZDRAVJA 2019</t>
  </si>
  <si>
    <t>PLAN ŠOLA ZDRAVJA 2019</t>
  </si>
  <si>
    <t>PLAN MZ 2019</t>
  </si>
  <si>
    <t>PLAN ZZZŠ DOMŽALE 2019</t>
  </si>
  <si>
    <t>PLAN OBČINA DOMŽALE 2019</t>
  </si>
  <si>
    <t>PLAN TEKSTIL 2019</t>
  </si>
  <si>
    <t>PLAN SEŽANA 2019</t>
  </si>
  <si>
    <t>PLAN ČRNOMELJ 2019</t>
  </si>
  <si>
    <t>PLAN OBČINA DOMŽALE-UPOKOJENCI 2019</t>
  </si>
  <si>
    <t>PLAN DRUGI RAZPISI 2019</t>
  </si>
  <si>
    <t>PLAN VADITELJJI 2019</t>
  </si>
  <si>
    <t>PLAN ČLANARINE 2019</t>
  </si>
  <si>
    <t>PLAN ČASOPIS 2019</t>
  </si>
  <si>
    <t>PLAN MOST NA SOČI 2019</t>
  </si>
  <si>
    <t>PLAN SPLETNA STRAN 2019</t>
  </si>
  <si>
    <t>PLAN UO,NO,IK 2019</t>
  </si>
  <si>
    <t>PLAN OBČNI ZBOR 2019</t>
  </si>
  <si>
    <t>PLAN RAZPIS EU + MJU</t>
  </si>
  <si>
    <t>1/2 Plača odpredsednik + 1/2 PLAČE XY</t>
  </si>
  <si>
    <t>EKG 3 KOS</t>
  </si>
  <si>
    <t>Donac. drugih prav. In fiz.oseb+MOL(bus in predstava)</t>
  </si>
  <si>
    <t>IME PRIHODKA OZ ODHODKA</t>
  </si>
  <si>
    <t>STROŠKI MATERIALA (SUMA kontov 4001 do 4011)</t>
  </si>
  <si>
    <t>Stroški vzdrževanja (spletna stran+domena)</t>
  </si>
  <si>
    <t>Stroški izobraževnaj in seminarjev</t>
  </si>
  <si>
    <t>Stroški članarine - Športna Unija Slovenije</t>
  </si>
  <si>
    <t>Strokovna pomoč pri javnih razpisih</t>
  </si>
  <si>
    <t>Vezenje ter tisk tekstila</t>
  </si>
  <si>
    <t>Najem dvoran</t>
  </si>
  <si>
    <t>Stroški kilometrine - dr. Nikolay Grishin</t>
  </si>
  <si>
    <t>Stroški usposabljanj Andraž Purger, dr.Nikolay Grishin</t>
  </si>
  <si>
    <t>Nadomestila mat.stroškov-prostovoljci</t>
  </si>
  <si>
    <t>Stroški AH - Ubald Trnkoczy</t>
  </si>
  <si>
    <t>Druge storitve (BUS in druge storitve)</t>
  </si>
  <si>
    <t>STROŠKI STORITEV (suma kontov 412,413,415,416,419)</t>
  </si>
  <si>
    <t>Amortizacija opreme</t>
  </si>
  <si>
    <t>Povraćila (prehrana med delom)</t>
  </si>
  <si>
    <t>Povraćila (kilometrina)</t>
  </si>
  <si>
    <t>Regres za letni dopust</t>
  </si>
  <si>
    <t>Povračila zaposlencev (suma kontov 4730-4733)</t>
  </si>
  <si>
    <t>Prispevki delodqaalca 16,10%</t>
  </si>
  <si>
    <t>STROŠKI DELA (suma kontov 4700,473,474)</t>
  </si>
  <si>
    <t>IZKAZ POSLOVNEGA IZIDA 2018 SAMO ČLANARINE</t>
  </si>
  <si>
    <t>IZKAZ POSLOVNEGA IZIDA 2019 SAMO ČLANARINE</t>
  </si>
  <si>
    <t>IZKAZ POSLOVNEGA IZIDA NA DAN 31.12.2018</t>
  </si>
  <si>
    <t>IZKAZ POSLOVNEGA IZIDA NA DAN 31.12.2019</t>
  </si>
  <si>
    <t>Prihodki od prodaje storitev (oglasi v časopisu)</t>
  </si>
  <si>
    <t>OSTALI PRIHODKI</t>
  </si>
  <si>
    <t>Stroški tematskega usposabljana-Slovenska filantropija in drugi</t>
  </si>
  <si>
    <t>Str.amdinistracije, javni razpisi, tekstil, vodenje Zagreb Brigita</t>
  </si>
  <si>
    <t>Povračila kilometrin prostovoljcem</t>
  </si>
  <si>
    <t>Stroški organov društva</t>
  </si>
  <si>
    <t>Stroški Občni zbor društva</t>
  </si>
  <si>
    <t>10.obletnica društva</t>
  </si>
  <si>
    <t>S T R O Š K I R4 ter 7020</t>
  </si>
  <si>
    <t>Jubilejna nagrda za 10 let</t>
  </si>
  <si>
    <t>Stroški vsesl.srečanja v Velenju</t>
  </si>
  <si>
    <t>POSLOVNI ODHODKI-NV TEKSTIL,TRANS.,PRIR.ČAS..</t>
  </si>
  <si>
    <t>Najemnina fotokopirnega stroja,projektorja, površin za plakate</t>
  </si>
  <si>
    <t xml:space="preserve"> F I N A N Č N I   R E Z U L T A T  2019:</t>
  </si>
  <si>
    <t>Nagrade prosotovoljci (del str. OZ)</t>
  </si>
  <si>
    <t xml:space="preserve"> PRIKAZ FINANČNIH PODATKOV ZA LETI 2018 IN 2019 -  SAMO IZ ČLANARINE V PRIMERJAVI S SKUPNIMI FINANČNIMI PODATKI</t>
  </si>
  <si>
    <t>letno poročilo izdelala dne, 21.02.2020</t>
  </si>
  <si>
    <t>Brigita Grubič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</si>
</sst>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[$€-1]_-;\-* #,##0.00\ [$€-1]_-;_-* &quot;-&quot;??\ [$€-1]_-;_-@_-"/>
    <numFmt numFmtId="167" formatCode="_-* #,##0.00\ [$€-424]_-;\-* #,##0.00\ [$€-424]_-;_-* &quot;-&quot;??\ [$€-424]_-;_-@_-"/>
  </numFmts>
  <fonts count="4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6"/>
      <name val="Calibri"/>
      <family val="2"/>
      <charset val="238"/>
      <scheme val="minor"/>
    </font>
    <font>
      <b/>
      <sz val="6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11"/>
      <color theme="1"/>
      <name val="Arial Narrow"/>
      <family val="2"/>
      <charset val="238"/>
    </font>
    <font>
      <sz val="9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sz val="8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u/>
      <sz val="9"/>
      <name val="Arial Narrow"/>
      <family val="2"/>
      <charset val="238"/>
    </font>
    <font>
      <b/>
      <u/>
      <sz val="8"/>
      <name val="Arial Narrow"/>
      <family val="2"/>
      <charset val="238"/>
    </font>
    <font>
      <b/>
      <u/>
      <sz val="8"/>
      <color theme="1"/>
      <name val="Arial Narrow"/>
      <family val="2"/>
      <charset val="238"/>
    </font>
    <font>
      <b/>
      <u val="singleAccounting"/>
      <sz val="9"/>
      <name val="Arial Narrow"/>
      <family val="2"/>
      <charset val="238"/>
    </font>
    <font>
      <b/>
      <u val="singleAccounting"/>
      <sz val="8"/>
      <name val="Arial Narrow"/>
      <family val="2"/>
      <charset val="238"/>
    </font>
    <font>
      <b/>
      <u val="singleAccounting"/>
      <sz val="8"/>
      <color theme="1"/>
      <name val="Arial Narrow"/>
      <family val="2"/>
      <charset val="238"/>
    </font>
    <font>
      <b/>
      <i/>
      <u val="singleAccounting"/>
      <sz val="9"/>
      <name val="Arial Narrow"/>
      <family val="2"/>
      <charset val="238"/>
    </font>
    <font>
      <b/>
      <i/>
      <u/>
      <sz val="9"/>
      <name val="Arial Narrow"/>
      <family val="2"/>
      <charset val="238"/>
    </font>
    <font>
      <i/>
      <u/>
      <sz val="9"/>
      <name val="Arial Narrow"/>
      <family val="2"/>
      <charset val="238"/>
    </font>
    <font>
      <i/>
      <u val="singleAccounting"/>
      <sz val="9"/>
      <name val="Arial Narrow"/>
      <family val="2"/>
      <charset val="238"/>
    </font>
    <font>
      <sz val="1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52">
    <xf numFmtId="0" fontId="0" fillId="0" borderId="0" xfId="0"/>
    <xf numFmtId="0" fontId="2" fillId="0" borderId="1" xfId="0" applyFont="1" applyFill="1" applyBorder="1" applyAlignment="1">
      <alignment horizontal="center" vertical="center" wrapText="1" shrinkToFit="1"/>
    </xf>
    <xf numFmtId="1" fontId="3" fillId="0" borderId="2" xfId="0" applyNumberFormat="1" applyFont="1" applyFill="1" applyBorder="1" applyAlignment="1">
      <alignment horizontal="left" vertical="center" wrapText="1" shrinkToFit="1"/>
    </xf>
    <xf numFmtId="0" fontId="3" fillId="0" borderId="2" xfId="1" applyNumberFormat="1" applyFont="1" applyFill="1" applyBorder="1" applyAlignment="1">
      <alignment horizontal="center" vertical="center" wrapText="1" shrinkToFit="1"/>
    </xf>
    <xf numFmtId="165" fontId="3" fillId="0" borderId="2" xfId="1" applyNumberFormat="1" applyFont="1" applyFill="1" applyBorder="1" applyAlignment="1">
      <alignment horizontal="center" vertical="center" wrapText="1" shrinkToFit="1"/>
    </xf>
    <xf numFmtId="1" fontId="3" fillId="0" borderId="2" xfId="1" applyNumberFormat="1" applyFont="1" applyFill="1" applyBorder="1" applyAlignment="1">
      <alignment horizontal="center" vertical="center" wrapText="1" shrinkToFit="1"/>
    </xf>
    <xf numFmtId="1" fontId="3" fillId="0" borderId="3" xfId="1" applyNumberFormat="1" applyFont="1" applyFill="1" applyBorder="1" applyAlignment="1">
      <alignment horizontal="center" vertical="center" wrapText="1" shrinkToFit="1"/>
    </xf>
    <xf numFmtId="0" fontId="4" fillId="0" borderId="4" xfId="1" applyNumberFormat="1" applyFont="1" applyFill="1" applyBorder="1" applyAlignment="1">
      <alignment horizontal="center" vertical="center" wrapText="1" shrinkToFit="1"/>
    </xf>
    <xf numFmtId="165" fontId="4" fillId="0" borderId="5" xfId="1" applyNumberFormat="1" applyFont="1" applyFill="1" applyBorder="1" applyAlignment="1">
      <alignment horizontal="center" vertical="center" wrapText="1" shrinkToFit="1"/>
    </xf>
    <xf numFmtId="0" fontId="5" fillId="0" borderId="5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  <xf numFmtId="0" fontId="7" fillId="0" borderId="4" xfId="1" applyNumberFormat="1" applyFont="1" applyFill="1" applyBorder="1" applyAlignment="1">
      <alignment horizontal="left" vertical="center"/>
    </xf>
    <xf numFmtId="165" fontId="7" fillId="0" borderId="5" xfId="1" applyNumberFormat="1" applyFont="1" applyFill="1" applyBorder="1" applyAlignment="1">
      <alignment horizontal="left" vertical="center"/>
    </xf>
    <xf numFmtId="166" fontId="5" fillId="0" borderId="5" xfId="0" applyNumberFormat="1" applyFont="1" applyFill="1" applyBorder="1" applyAlignment="1">
      <alignment vertical="center"/>
    </xf>
    <xf numFmtId="166" fontId="8" fillId="0" borderId="5" xfId="1" applyNumberFormat="1" applyFont="1" applyFill="1" applyBorder="1" applyAlignment="1">
      <alignment horizontal="center" vertical="center"/>
    </xf>
    <xf numFmtId="166" fontId="8" fillId="0" borderId="5" xfId="0" applyNumberFormat="1" applyFont="1" applyFill="1" applyBorder="1" applyAlignment="1">
      <alignment horizontal="center" vertical="center"/>
    </xf>
    <xf numFmtId="166" fontId="5" fillId="0" borderId="5" xfId="1" applyNumberFormat="1" applyFont="1" applyFill="1" applyBorder="1" applyAlignment="1">
      <alignment horizontal="center" vertical="center"/>
    </xf>
    <xf numFmtId="166" fontId="5" fillId="0" borderId="6" xfId="1" applyNumberFormat="1" applyFont="1" applyFill="1" applyBorder="1" applyAlignment="1">
      <alignment horizontal="center" vertical="center"/>
    </xf>
    <xf numFmtId="166" fontId="8" fillId="0" borderId="6" xfId="1" applyNumberFormat="1" applyFont="1" applyFill="1" applyBorder="1" applyAlignment="1">
      <alignment horizontal="center" vertical="center"/>
    </xf>
    <xf numFmtId="166" fontId="5" fillId="0" borderId="5" xfId="0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left" vertical="center"/>
    </xf>
    <xf numFmtId="165" fontId="6" fillId="0" borderId="5" xfId="1" applyNumberFormat="1" applyFont="1" applyFill="1" applyBorder="1" applyAlignment="1">
      <alignment horizontal="left" vertical="center"/>
    </xf>
    <xf numFmtId="166" fontId="5" fillId="0" borderId="6" xfId="0" applyNumberFormat="1" applyFont="1" applyFill="1" applyBorder="1" applyAlignment="1">
      <alignment vertical="center"/>
    </xf>
    <xf numFmtId="166" fontId="9" fillId="0" borderId="5" xfId="0" applyNumberFormat="1" applyFont="1" applyFill="1" applyBorder="1" applyAlignment="1">
      <alignment vertical="center"/>
    </xf>
    <xf numFmtId="166" fontId="9" fillId="0" borderId="5" xfId="1" applyNumberFormat="1" applyFont="1" applyFill="1" applyBorder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166" fontId="4" fillId="0" borderId="6" xfId="1" applyNumberFormat="1" applyFont="1" applyFill="1" applyBorder="1" applyAlignment="1">
      <alignment horizontal="center" vertical="center"/>
    </xf>
    <xf numFmtId="167" fontId="6" fillId="0" borderId="5" xfId="1" applyNumberFormat="1" applyFont="1" applyFill="1" applyBorder="1" applyAlignment="1">
      <alignment horizontal="left" vertical="center"/>
    </xf>
    <xf numFmtId="167" fontId="6" fillId="0" borderId="6" xfId="1" applyNumberFormat="1" applyFont="1" applyFill="1" applyBorder="1" applyAlignment="1">
      <alignment horizontal="left" vertical="center"/>
    </xf>
    <xf numFmtId="1" fontId="9" fillId="0" borderId="5" xfId="0" applyNumberFormat="1" applyFont="1" applyFill="1" applyBorder="1" applyAlignment="1">
      <alignment vertical="center"/>
    </xf>
    <xf numFmtId="1" fontId="9" fillId="0" borderId="5" xfId="1" applyNumberFormat="1" applyFont="1" applyFill="1" applyBorder="1" applyAlignment="1">
      <alignment horizontal="center" vertical="center"/>
    </xf>
    <xf numFmtId="2" fontId="9" fillId="0" borderId="5" xfId="1" applyNumberFormat="1" applyFont="1" applyFill="1" applyBorder="1" applyAlignment="1">
      <alignment horizontal="center" vertical="center"/>
    </xf>
    <xf numFmtId="1" fontId="4" fillId="0" borderId="5" xfId="1" applyNumberFormat="1" applyFont="1" applyFill="1" applyBorder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horizontal="center" vertical="center"/>
    </xf>
    <xf numFmtId="2" fontId="4" fillId="0" borderId="5" xfId="1" applyNumberFormat="1" applyFont="1" applyFill="1" applyBorder="1" applyAlignment="1">
      <alignment horizontal="center" vertical="center"/>
    </xf>
    <xf numFmtId="2" fontId="4" fillId="0" borderId="6" xfId="1" applyNumberFormat="1" applyFont="1" applyFill="1" applyBorder="1" applyAlignment="1">
      <alignment horizontal="center" vertical="center"/>
    </xf>
    <xf numFmtId="166" fontId="9" fillId="0" borderId="5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166" fontId="4" fillId="0" borderId="6" xfId="0" applyNumberFormat="1" applyFont="1" applyFill="1" applyBorder="1" applyAlignment="1">
      <alignment horizontal="center" vertical="center"/>
    </xf>
    <xf numFmtId="166" fontId="8" fillId="0" borderId="6" xfId="0" applyNumberFormat="1" applyFont="1" applyFill="1" applyBorder="1" applyAlignment="1">
      <alignment horizontal="center" vertical="center"/>
    </xf>
    <xf numFmtId="1" fontId="5" fillId="0" borderId="5" xfId="0" applyNumberFormat="1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horizontal="center" vertical="center"/>
    </xf>
    <xf numFmtId="166" fontId="9" fillId="0" borderId="6" xfId="0" applyNumberFormat="1" applyFont="1" applyFill="1" applyBorder="1" applyAlignment="1">
      <alignment horizontal="center" vertical="center"/>
    </xf>
    <xf numFmtId="166" fontId="10" fillId="0" borderId="5" xfId="1" applyNumberFormat="1" applyFont="1" applyFill="1" applyBorder="1" applyAlignment="1">
      <alignment horizontal="center" vertical="center"/>
    </xf>
    <xf numFmtId="166" fontId="11" fillId="0" borderId="5" xfId="1" applyNumberFormat="1" applyFont="1" applyFill="1" applyBorder="1" applyAlignment="1">
      <alignment horizontal="center" vertical="center"/>
    </xf>
    <xf numFmtId="166" fontId="11" fillId="0" borderId="6" xfId="1" applyNumberFormat="1" applyFont="1" applyFill="1" applyBorder="1" applyAlignment="1">
      <alignment horizontal="center" vertical="center"/>
    </xf>
    <xf numFmtId="0" fontId="12" fillId="0" borderId="4" xfId="1" applyNumberFormat="1" applyFont="1" applyFill="1" applyBorder="1" applyAlignment="1">
      <alignment horizontal="left" vertical="center"/>
    </xf>
    <xf numFmtId="165" fontId="12" fillId="0" borderId="5" xfId="1" applyNumberFormat="1" applyFont="1" applyFill="1" applyBorder="1" applyAlignment="1">
      <alignment horizontal="left" vertical="center"/>
    </xf>
    <xf numFmtId="166" fontId="10" fillId="0" borderId="5" xfId="0" applyNumberFormat="1" applyFont="1" applyFill="1" applyBorder="1" applyAlignment="1">
      <alignment horizontal="center" vertical="center"/>
    </xf>
    <xf numFmtId="166" fontId="11" fillId="0" borderId="5" xfId="0" applyNumberFormat="1" applyFont="1" applyFill="1" applyBorder="1" applyAlignment="1">
      <alignment horizontal="center" vertical="center"/>
    </xf>
    <xf numFmtId="166" fontId="13" fillId="0" borderId="5" xfId="0" applyNumberFormat="1" applyFont="1" applyFill="1" applyBorder="1" applyAlignment="1">
      <alignment horizontal="center" vertical="center"/>
    </xf>
    <xf numFmtId="166" fontId="13" fillId="0" borderId="5" xfId="1" applyNumberFormat="1" applyFont="1" applyFill="1" applyBorder="1" applyAlignment="1">
      <alignment horizontal="center" vertical="center"/>
    </xf>
    <xf numFmtId="166" fontId="13" fillId="0" borderId="6" xfId="1" applyNumberFormat="1" applyFont="1" applyFill="1" applyBorder="1" applyAlignment="1">
      <alignment horizontal="center" vertical="center"/>
    </xf>
    <xf numFmtId="165" fontId="8" fillId="0" borderId="5" xfId="1" applyNumberFormat="1" applyFont="1" applyFill="1" applyBorder="1" applyAlignment="1">
      <alignment horizontal="left" vertical="center"/>
    </xf>
    <xf numFmtId="0" fontId="14" fillId="0" borderId="4" xfId="1" applyNumberFormat="1" applyFont="1" applyFill="1" applyBorder="1" applyAlignment="1">
      <alignment horizontal="left" vertical="center"/>
    </xf>
    <xf numFmtId="165" fontId="14" fillId="0" borderId="5" xfId="1" applyNumberFormat="1" applyFont="1" applyFill="1" applyBorder="1" applyAlignment="1">
      <alignment horizontal="left" vertical="center"/>
    </xf>
    <xf numFmtId="165" fontId="6" fillId="0" borderId="6" xfId="1" applyNumberFormat="1" applyFont="1" applyFill="1" applyBorder="1" applyAlignment="1">
      <alignment horizontal="left" vertical="center"/>
    </xf>
    <xf numFmtId="0" fontId="7" fillId="0" borderId="7" xfId="1" applyNumberFormat="1" applyFont="1" applyFill="1" applyBorder="1" applyAlignment="1">
      <alignment horizontal="left" vertical="center"/>
    </xf>
    <xf numFmtId="165" fontId="6" fillId="0" borderId="8" xfId="1" applyNumberFormat="1" applyFont="1" applyFill="1" applyBorder="1" applyAlignment="1">
      <alignment horizontal="left" vertical="center"/>
    </xf>
    <xf numFmtId="166" fontId="5" fillId="0" borderId="8" xfId="0" applyNumberFormat="1" applyFont="1" applyFill="1" applyBorder="1" applyAlignment="1">
      <alignment horizontal="center" vertical="center"/>
    </xf>
    <xf numFmtId="166" fontId="5" fillId="0" borderId="9" xfId="0" applyNumberFormat="1" applyFont="1" applyFill="1" applyBorder="1" applyAlignment="1">
      <alignment horizontal="center" vertical="center"/>
    </xf>
    <xf numFmtId="0" fontId="4" fillId="0" borderId="5" xfId="1" applyNumberFormat="1" applyFont="1" applyFill="1" applyBorder="1" applyAlignment="1">
      <alignment horizontal="center" vertical="center" wrapText="1" shrinkToFit="1"/>
    </xf>
    <xf numFmtId="0" fontId="7" fillId="0" borderId="5" xfId="1" applyNumberFormat="1" applyFont="1" applyFill="1" applyBorder="1" applyAlignment="1">
      <alignment horizontal="left" vertical="center"/>
    </xf>
    <xf numFmtId="0" fontId="6" fillId="0" borderId="5" xfId="1" applyNumberFormat="1" applyFont="1" applyFill="1" applyBorder="1" applyAlignment="1">
      <alignment horizontal="left" vertical="center"/>
    </xf>
    <xf numFmtId="0" fontId="12" fillId="0" borderId="5" xfId="1" applyNumberFormat="1" applyFont="1" applyFill="1" applyBorder="1" applyAlignment="1">
      <alignment horizontal="left" vertical="center"/>
    </xf>
    <xf numFmtId="0" fontId="14" fillId="0" borderId="5" xfId="1" applyNumberFormat="1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 wrapText="1" shrinkToFit="1"/>
    </xf>
    <xf numFmtId="1" fontId="5" fillId="0" borderId="5" xfId="0" applyNumberFormat="1" applyFont="1" applyFill="1" applyBorder="1" applyAlignment="1">
      <alignment horizontal="left" vertical="center" wrapText="1" shrinkToFit="1"/>
    </xf>
    <xf numFmtId="0" fontId="0" fillId="0" borderId="0" xfId="0" applyFont="1"/>
    <xf numFmtId="0" fontId="0" fillId="0" borderId="5" xfId="0" applyBorder="1"/>
    <xf numFmtId="166" fontId="4" fillId="0" borderId="5" xfId="0" applyNumberFormat="1" applyFont="1" applyFill="1" applyBorder="1" applyAlignment="1">
      <alignment vertical="center"/>
    </xf>
    <xf numFmtId="2" fontId="16" fillId="0" borderId="5" xfId="0" applyNumberFormat="1" applyFont="1" applyBorder="1"/>
    <xf numFmtId="165" fontId="4" fillId="0" borderId="5" xfId="1" applyNumberFormat="1" applyFont="1" applyFill="1" applyBorder="1" applyAlignment="1">
      <alignment horizontal="left" vertical="center"/>
    </xf>
    <xf numFmtId="167" fontId="4" fillId="0" borderId="5" xfId="1" applyNumberFormat="1" applyFont="1" applyFill="1" applyBorder="1" applyAlignment="1">
      <alignment horizontal="left" vertical="center"/>
    </xf>
    <xf numFmtId="1" fontId="4" fillId="0" borderId="5" xfId="0" applyNumberFormat="1" applyFont="1" applyFill="1" applyBorder="1" applyAlignment="1">
      <alignment vertical="center"/>
    </xf>
    <xf numFmtId="1" fontId="5" fillId="0" borderId="5" xfId="0" applyNumberFormat="1" applyFont="1" applyFill="1" applyBorder="1" applyAlignment="1">
      <alignment horizontal="center" vertical="center" wrapText="1" shrinkToFit="1"/>
    </xf>
    <xf numFmtId="0" fontId="15" fillId="0" borderId="5" xfId="0" applyFont="1" applyBorder="1" applyAlignment="1">
      <alignment horizontal="center"/>
    </xf>
    <xf numFmtId="165" fontId="7" fillId="0" borderId="5" xfId="1" applyNumberFormat="1" applyFont="1" applyFill="1" applyBorder="1" applyAlignment="1">
      <alignment horizontal="left" vertical="center" wrapText="1"/>
    </xf>
    <xf numFmtId="164" fontId="4" fillId="0" borderId="5" xfId="1" applyNumberFormat="1" applyFont="1" applyFill="1" applyBorder="1" applyAlignment="1">
      <alignment horizontal="left" vertical="center"/>
    </xf>
    <xf numFmtId="0" fontId="17" fillId="0" borderId="4" xfId="1" applyNumberFormat="1" applyFont="1" applyFill="1" applyBorder="1" applyAlignment="1">
      <alignment horizontal="left" vertical="center"/>
    </xf>
    <xf numFmtId="165" fontId="17" fillId="0" borderId="5" xfId="1" applyNumberFormat="1" applyFont="1" applyFill="1" applyBorder="1" applyAlignment="1">
      <alignment horizontal="left" vertical="center"/>
    </xf>
    <xf numFmtId="166" fontId="18" fillId="0" borderId="5" xfId="0" applyNumberFormat="1" applyFont="1" applyFill="1" applyBorder="1" applyAlignment="1">
      <alignment horizontal="center" vertical="center"/>
    </xf>
    <xf numFmtId="166" fontId="18" fillId="0" borderId="5" xfId="1" applyNumberFormat="1" applyFont="1" applyFill="1" applyBorder="1" applyAlignment="1">
      <alignment horizontal="center" vertical="center"/>
    </xf>
    <xf numFmtId="166" fontId="19" fillId="0" borderId="5" xfId="1" applyNumberFormat="1" applyFont="1" applyFill="1" applyBorder="1" applyAlignment="1">
      <alignment horizontal="center" vertical="center"/>
    </xf>
    <xf numFmtId="166" fontId="20" fillId="0" borderId="5" xfId="0" applyNumberFormat="1" applyFont="1" applyFill="1" applyBorder="1" applyAlignment="1">
      <alignment horizontal="center" vertical="center"/>
    </xf>
    <xf numFmtId="166" fontId="21" fillId="0" borderId="5" xfId="1" applyNumberFormat="1" applyFont="1" applyFill="1" applyBorder="1" applyAlignment="1">
      <alignment horizontal="center" vertical="center"/>
    </xf>
    <xf numFmtId="166" fontId="21" fillId="0" borderId="6" xfId="1" applyNumberFormat="1" applyFont="1" applyFill="1" applyBorder="1" applyAlignment="1">
      <alignment horizontal="center" vertical="center"/>
    </xf>
    <xf numFmtId="165" fontId="22" fillId="0" borderId="5" xfId="1" applyNumberFormat="1" applyFont="1" applyFill="1" applyBorder="1" applyAlignment="1">
      <alignment horizontal="center" vertical="center" wrapText="1" shrinkToFit="1"/>
    </xf>
    <xf numFmtId="0" fontId="23" fillId="0" borderId="5" xfId="0" applyFont="1" applyBorder="1"/>
    <xf numFmtId="165" fontId="24" fillId="0" borderId="5" xfId="1" applyNumberFormat="1" applyFont="1" applyFill="1" applyBorder="1" applyAlignment="1">
      <alignment horizontal="left" vertical="center"/>
    </xf>
    <xf numFmtId="166" fontId="22" fillId="0" borderId="5" xfId="0" applyNumberFormat="1" applyFont="1" applyFill="1" applyBorder="1" applyAlignment="1">
      <alignment vertical="center"/>
    </xf>
    <xf numFmtId="2" fontId="25" fillId="0" borderId="5" xfId="0" applyNumberFormat="1" applyFont="1" applyBorder="1"/>
    <xf numFmtId="165" fontId="24" fillId="0" borderId="5" xfId="1" applyNumberFormat="1" applyFont="1" applyFill="1" applyBorder="1" applyAlignment="1">
      <alignment horizontal="left" vertical="center" wrapText="1"/>
    </xf>
    <xf numFmtId="165" fontId="26" fillId="0" borderId="5" xfId="1" applyNumberFormat="1" applyFont="1" applyFill="1" applyBorder="1" applyAlignment="1">
      <alignment horizontal="left" vertical="center"/>
    </xf>
    <xf numFmtId="164" fontId="22" fillId="0" borderId="5" xfId="1" applyNumberFormat="1" applyFont="1" applyFill="1" applyBorder="1" applyAlignment="1">
      <alignment horizontal="left" vertical="center"/>
    </xf>
    <xf numFmtId="165" fontId="22" fillId="0" borderId="5" xfId="1" applyNumberFormat="1" applyFont="1" applyFill="1" applyBorder="1" applyAlignment="1">
      <alignment horizontal="left" vertical="center"/>
    </xf>
    <xf numFmtId="166" fontId="28" fillId="0" borderId="5" xfId="0" applyNumberFormat="1" applyFont="1" applyFill="1" applyBorder="1" applyAlignment="1">
      <alignment vertical="center"/>
    </xf>
    <xf numFmtId="2" fontId="29" fillId="0" borderId="5" xfId="0" applyNumberFormat="1" applyFont="1" applyBorder="1"/>
    <xf numFmtId="1" fontId="28" fillId="0" borderId="5" xfId="0" applyNumberFormat="1" applyFont="1" applyFill="1" applyBorder="1" applyAlignment="1">
      <alignment vertical="center"/>
    </xf>
    <xf numFmtId="165" fontId="30" fillId="0" borderId="5" xfId="1" applyNumberFormat="1" applyFont="1" applyFill="1" applyBorder="1" applyAlignment="1">
      <alignment horizontal="left" vertical="center"/>
    </xf>
    <xf numFmtId="166" fontId="31" fillId="0" borderId="5" xfId="0" applyNumberFormat="1" applyFont="1" applyFill="1" applyBorder="1" applyAlignment="1">
      <alignment horizontal="center" vertical="center"/>
    </xf>
    <xf numFmtId="2" fontId="32" fillId="0" borderId="5" xfId="0" applyNumberFormat="1" applyFont="1" applyBorder="1"/>
    <xf numFmtId="165" fontId="33" fillId="0" borderId="5" xfId="1" applyNumberFormat="1" applyFont="1" applyFill="1" applyBorder="1" applyAlignment="1">
      <alignment horizontal="left" vertical="center"/>
    </xf>
    <xf numFmtId="167" fontId="34" fillId="0" borderId="5" xfId="1" applyNumberFormat="1" applyFont="1" applyFill="1" applyBorder="1" applyAlignment="1">
      <alignment horizontal="left" vertical="center"/>
    </xf>
    <xf numFmtId="2" fontId="35" fillId="0" borderId="5" xfId="0" applyNumberFormat="1" applyFont="1" applyBorder="1"/>
    <xf numFmtId="166" fontId="31" fillId="0" borderId="5" xfId="0" applyNumberFormat="1" applyFont="1" applyFill="1" applyBorder="1" applyAlignment="1">
      <alignment vertical="center"/>
    </xf>
    <xf numFmtId="164" fontId="31" fillId="0" borderId="5" xfId="1" applyNumberFormat="1" applyFont="1" applyFill="1" applyBorder="1" applyAlignment="1">
      <alignment horizontal="left" vertical="center"/>
    </xf>
    <xf numFmtId="167" fontId="31" fillId="0" borderId="5" xfId="1" applyNumberFormat="1" applyFont="1" applyFill="1" applyBorder="1" applyAlignment="1">
      <alignment horizontal="left" vertical="center"/>
    </xf>
    <xf numFmtId="165" fontId="36" fillId="0" borderId="5" xfId="1" applyNumberFormat="1" applyFont="1" applyFill="1" applyBorder="1" applyAlignment="1">
      <alignment horizontal="left" vertical="center"/>
    </xf>
    <xf numFmtId="166" fontId="34" fillId="0" borderId="5" xfId="0" applyNumberFormat="1" applyFont="1" applyFill="1" applyBorder="1" applyAlignment="1">
      <alignment horizontal="center" vertical="center"/>
    </xf>
    <xf numFmtId="165" fontId="38" fillId="0" borderId="5" xfId="1" applyNumberFormat="1" applyFont="1" applyFill="1" applyBorder="1" applyAlignment="1">
      <alignment horizontal="left" vertical="center"/>
    </xf>
    <xf numFmtId="165" fontId="39" fillId="0" borderId="5" xfId="1" applyNumberFormat="1" applyFont="1" applyFill="1" applyBorder="1" applyAlignment="1">
      <alignment horizontal="left" vertical="center"/>
    </xf>
    <xf numFmtId="165" fontId="37" fillId="0" borderId="5" xfId="1" applyNumberFormat="1" applyFont="1" applyFill="1" applyBorder="1" applyAlignment="1">
      <alignment horizontal="left" vertical="center"/>
    </xf>
    <xf numFmtId="166" fontId="31" fillId="0" borderId="5" xfId="1" applyNumberFormat="1" applyFont="1" applyFill="1" applyBorder="1" applyAlignment="1">
      <alignment horizontal="center" vertical="center"/>
    </xf>
    <xf numFmtId="165" fontId="31" fillId="0" borderId="5" xfId="1" applyNumberFormat="1" applyFont="1" applyFill="1" applyBorder="1" applyAlignment="1">
      <alignment horizontal="left" vertical="center"/>
    </xf>
    <xf numFmtId="0" fontId="40" fillId="2" borderId="5" xfId="0" applyFont="1" applyFill="1" applyBorder="1"/>
    <xf numFmtId="166" fontId="28" fillId="2" borderId="5" xfId="0" applyNumberFormat="1" applyFont="1" applyFill="1" applyBorder="1" applyAlignment="1">
      <alignment vertical="center"/>
    </xf>
    <xf numFmtId="166" fontId="22" fillId="2" borderId="5" xfId="0" applyNumberFormat="1" applyFont="1" applyFill="1" applyBorder="1" applyAlignment="1">
      <alignment vertical="center"/>
    </xf>
    <xf numFmtId="165" fontId="22" fillId="2" borderId="5" xfId="1" applyNumberFormat="1" applyFont="1" applyFill="1" applyBorder="1" applyAlignment="1">
      <alignment horizontal="left" vertical="center"/>
    </xf>
    <xf numFmtId="167" fontId="34" fillId="2" borderId="5" xfId="1" applyNumberFormat="1" applyFont="1" applyFill="1" applyBorder="1" applyAlignment="1">
      <alignment horizontal="left" vertical="center"/>
    </xf>
    <xf numFmtId="164" fontId="22" fillId="2" borderId="5" xfId="1" applyNumberFormat="1" applyFont="1" applyFill="1" applyBorder="1" applyAlignment="1">
      <alignment horizontal="left" vertical="center"/>
    </xf>
    <xf numFmtId="1" fontId="28" fillId="2" borderId="5" xfId="0" applyNumberFormat="1" applyFont="1" applyFill="1" applyBorder="1" applyAlignment="1">
      <alignment vertical="center"/>
    </xf>
    <xf numFmtId="166" fontId="31" fillId="2" borderId="5" xfId="0" applyNumberFormat="1" applyFont="1" applyFill="1" applyBorder="1" applyAlignment="1">
      <alignment horizontal="center" vertical="center"/>
    </xf>
    <xf numFmtId="166" fontId="31" fillId="2" borderId="5" xfId="0" applyNumberFormat="1" applyFont="1" applyFill="1" applyBorder="1" applyAlignment="1">
      <alignment vertical="center"/>
    </xf>
    <xf numFmtId="164" fontId="31" fillId="2" borderId="5" xfId="1" applyNumberFormat="1" applyFont="1" applyFill="1" applyBorder="1" applyAlignment="1">
      <alignment horizontal="left" vertical="center"/>
    </xf>
    <xf numFmtId="167" fontId="31" fillId="2" borderId="5" xfId="1" applyNumberFormat="1" applyFont="1" applyFill="1" applyBorder="1" applyAlignment="1">
      <alignment horizontal="left" vertical="center"/>
    </xf>
    <xf numFmtId="166" fontId="31" fillId="2" borderId="5" xfId="1" applyNumberFormat="1" applyFont="1" applyFill="1" applyBorder="1" applyAlignment="1">
      <alignment horizontal="center" vertical="center"/>
    </xf>
    <xf numFmtId="165" fontId="31" fillId="2" borderId="5" xfId="1" applyNumberFormat="1" applyFont="1" applyFill="1" applyBorder="1" applyAlignment="1">
      <alignment horizontal="left" vertical="center"/>
    </xf>
    <xf numFmtId="0" fontId="41" fillId="0" borderId="0" xfId="0" applyFont="1"/>
    <xf numFmtId="0" fontId="42" fillId="0" borderId="0" xfId="0" applyFont="1"/>
    <xf numFmtId="0" fontId="43" fillId="0" borderId="0" xfId="0" applyFont="1"/>
    <xf numFmtId="0" fontId="29" fillId="0" borderId="5" xfId="0" applyFont="1" applyBorder="1"/>
    <xf numFmtId="0" fontId="29" fillId="3" borderId="5" xfId="0" applyFont="1" applyFill="1" applyBorder="1"/>
    <xf numFmtId="167" fontId="29" fillId="0" borderId="5" xfId="0" applyNumberFormat="1" applyFont="1" applyBorder="1"/>
    <xf numFmtId="167" fontId="29" fillId="3" borderId="5" xfId="0" applyNumberFormat="1" applyFont="1" applyFill="1" applyBorder="1"/>
    <xf numFmtId="0" fontId="44" fillId="0" borderId="0" xfId="0" applyFont="1"/>
    <xf numFmtId="167" fontId="25" fillId="0" borderId="5" xfId="0" applyNumberFormat="1" applyFont="1" applyBorder="1"/>
    <xf numFmtId="167" fontId="35" fillId="0" borderId="5" xfId="0" applyNumberFormat="1" applyFont="1" applyBorder="1"/>
    <xf numFmtId="167" fontId="25" fillId="3" borderId="5" xfId="0" applyNumberFormat="1" applyFont="1" applyFill="1" applyBorder="1"/>
    <xf numFmtId="167" fontId="35" fillId="3" borderId="5" xfId="0" applyNumberFormat="1" applyFont="1" applyFill="1" applyBorder="1"/>
    <xf numFmtId="167" fontId="29" fillId="0" borderId="5" xfId="0" applyNumberFormat="1" applyFont="1" applyFill="1" applyBorder="1"/>
    <xf numFmtId="0" fontId="45" fillId="0" borderId="0" xfId="0" applyFont="1"/>
    <xf numFmtId="165" fontId="27" fillId="0" borderId="5" xfId="1" applyNumberFormat="1" applyFont="1" applyFill="1" applyBorder="1" applyAlignment="1">
      <alignment horizontal="left" vertical="center"/>
    </xf>
    <xf numFmtId="1" fontId="22" fillId="0" borderId="5" xfId="0" applyNumberFormat="1" applyFont="1" applyFill="1" applyBorder="1" applyAlignment="1">
      <alignment horizontal="center" vertical="center" wrapText="1" shrinkToFit="1"/>
    </xf>
    <xf numFmtId="0" fontId="31" fillId="2" borderId="5" xfId="0" applyFont="1" applyFill="1" applyBorder="1" applyAlignment="1">
      <alignment horizontal="center" wrapText="1"/>
    </xf>
    <xf numFmtId="0" fontId="31" fillId="3" borderId="5" xfId="0" applyFont="1" applyFill="1" applyBorder="1" applyAlignment="1">
      <alignment horizontal="center" wrapText="1"/>
    </xf>
    <xf numFmtId="0" fontId="25" fillId="0" borderId="5" xfId="0" applyFont="1" applyBorder="1" applyAlignment="1">
      <alignment horizontal="center" wrapText="1"/>
    </xf>
    <xf numFmtId="0" fontId="16" fillId="0" borderId="0" xfId="0" applyFont="1"/>
    <xf numFmtId="0" fontId="46" fillId="0" borderId="0" xfId="0" applyFont="1"/>
  </cellXfs>
  <cellStyles count="2">
    <cellStyle name="Navadno" xfId="0" builtinId="0"/>
    <cellStyle name="Vejica" xfId="1" builtinId="3"/>
  </cellStyles>
  <dxfs count="26"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66" formatCode="_-* #,##0.00\ [$€-1]_-;\-* #,##0.00\ [$€-1]_-;_-* &quot;-&quot;??\ [$€-1]_-;_-@_-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6"/>
        <color auto="1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3" displayName="Tabela13" ref="A1:U135" totalsRowShown="0" headerRowDxfId="25" dataDxfId="23" headerRowBorderDxfId="24" tableBorderDxfId="22" totalsRowBorderDxfId="21" headerRowCellStyle="Vejica">
  <autoFilter ref="A1:U135" xr:uid="{00000000-0009-0000-0100-000001000000}"/>
  <tableColumns count="21">
    <tableColumn id="1" xr3:uid="{00000000-0010-0000-0000-000001000000}" name="KONTO" dataDxfId="20"/>
    <tableColumn id="2" xr3:uid="{00000000-0010-0000-0000-000002000000}" name="PLANIRANI F I N A N Č N I   R E Z U L T A T  2019" dataDxfId="19"/>
    <tableColumn id="23" xr3:uid="{00000000-0010-0000-0000-000017000000}" name="PLAN DRUŠTVO ŠOLA ZDRAVJA 2019" dataDxfId="18"/>
    <tableColumn id="25" xr3:uid="{00000000-0010-0000-0000-000019000000}" name="PLAN ŠOLA ZDRAVJA 2019" dataDxfId="17"/>
    <tableColumn id="26" xr3:uid="{00000000-0010-0000-0000-00001A000000}" name="PLAN MZ 2019" dataDxfId="16"/>
    <tableColumn id="28" xr3:uid="{00000000-0010-0000-0000-00001C000000}" name="PLAN ZZZŠ DOMŽALE 2019" dataDxfId="15"/>
    <tableColumn id="29" xr3:uid="{00000000-0010-0000-0000-00001D000000}" name="PLAN OBČINA DOMŽALE 2019" dataDxfId="14"/>
    <tableColumn id="47" xr3:uid="{00000000-0010-0000-0000-00002F000000}" name="PLAN RAZPIS EU + MJU" dataDxfId="13"/>
    <tableColumn id="31" xr3:uid="{00000000-0010-0000-0000-00001F000000}" name="PLAN TEKSTIL 2019" dataDxfId="12"/>
    <tableColumn id="33" xr3:uid="{00000000-0010-0000-0000-000021000000}" name="PLAN SEŽANA 2019" dataDxfId="11"/>
    <tableColumn id="34" xr3:uid="{00000000-0010-0000-0000-000022000000}" name="PLAN ČRNOMELJ 2019" dataDxfId="10"/>
    <tableColumn id="35" xr3:uid="{00000000-0010-0000-0000-000023000000}" name="PLAN OBČINA DOMŽALE-UPOKOJENCI 2019" dataDxfId="9"/>
    <tableColumn id="36" xr3:uid="{00000000-0010-0000-0000-000024000000}" name="PLAN DRUGI RAZPISI 2019" dataDxfId="8"/>
    <tableColumn id="37" xr3:uid="{00000000-0010-0000-0000-000025000000}" name="šus" dataDxfId="7"/>
    <tableColumn id="38" xr3:uid="{00000000-0010-0000-0000-000026000000}" name="PLAN VADITELJJI 2019" dataDxfId="6"/>
    <tableColumn id="48" xr3:uid="{00000000-0010-0000-0000-000030000000}" name="PLAN ČLANARINE 2019" dataDxfId="5"/>
    <tableColumn id="39" xr3:uid="{00000000-0010-0000-0000-000027000000}" name="PLAN ČASOPIS 2019" dataDxfId="4"/>
    <tableColumn id="40" xr3:uid="{00000000-0010-0000-0000-000028000000}" name="PLAN MOST NA SOČI 2019" dataDxfId="3"/>
    <tableColumn id="41" xr3:uid="{00000000-0010-0000-0000-000029000000}" name="PLAN SPLETNA STRAN 2019" dataDxfId="2"/>
    <tableColumn id="44" xr3:uid="{00000000-0010-0000-0000-00002C000000}" name="PLAN UO,NO,IK 2019" dataDxfId="1"/>
    <tableColumn id="45" xr3:uid="{00000000-0010-0000-0000-00002D000000}" name="PLAN OBČNI ZBOR 2019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35"/>
  <sheetViews>
    <sheetView topLeftCell="A4" workbookViewId="0">
      <selection activeCell="F121" sqref="F121"/>
    </sheetView>
  </sheetViews>
  <sheetFormatPr defaultRowHeight="15" x14ac:dyDescent="0.25"/>
  <cols>
    <col min="2" max="2" width="36.7109375" bestFit="1" customWidth="1"/>
    <col min="3" max="3" width="12.85546875" bestFit="1" customWidth="1"/>
    <col min="4" max="4" width="11.140625" customWidth="1"/>
    <col min="5" max="5" width="11.5703125" customWidth="1"/>
    <col min="6" max="6" width="10.5703125" customWidth="1"/>
    <col min="7" max="7" width="9.5703125" bestFit="1" customWidth="1"/>
    <col min="8" max="8" width="13.5703125" bestFit="1" customWidth="1"/>
    <col min="9" max="9" width="11.5703125" customWidth="1"/>
    <col min="12" max="12" width="10.140625" customWidth="1"/>
    <col min="13" max="13" width="11.5703125" bestFit="1" customWidth="1"/>
    <col min="14" max="14" width="10.42578125" bestFit="1" customWidth="1"/>
    <col min="15" max="16" width="13.42578125" bestFit="1" customWidth="1"/>
    <col min="20" max="20" width="12.28515625" bestFit="1" customWidth="1"/>
    <col min="21" max="21" width="11.140625" customWidth="1"/>
  </cols>
  <sheetData>
    <row r="1" spans="1:21" ht="24.75" x14ac:dyDescent="0.25">
      <c r="A1" s="1" t="s">
        <v>0</v>
      </c>
      <c r="B1" s="2" t="s">
        <v>121</v>
      </c>
      <c r="C1" s="2" t="s">
        <v>122</v>
      </c>
      <c r="D1" s="3" t="s">
        <v>123</v>
      </c>
      <c r="E1" s="4" t="s">
        <v>124</v>
      </c>
      <c r="F1" s="4" t="s">
        <v>125</v>
      </c>
      <c r="G1" s="4" t="s">
        <v>126</v>
      </c>
      <c r="H1" s="4" t="s">
        <v>139</v>
      </c>
      <c r="I1" s="4" t="s">
        <v>127</v>
      </c>
      <c r="J1" s="4" t="s">
        <v>128</v>
      </c>
      <c r="K1" s="4" t="s">
        <v>129</v>
      </c>
      <c r="L1" s="4" t="s">
        <v>130</v>
      </c>
      <c r="M1" s="4" t="s">
        <v>131</v>
      </c>
      <c r="N1" s="4" t="s">
        <v>1</v>
      </c>
      <c r="O1" s="4" t="s">
        <v>132</v>
      </c>
      <c r="P1" s="5" t="s">
        <v>133</v>
      </c>
      <c r="Q1" s="5" t="s">
        <v>134</v>
      </c>
      <c r="R1" s="5" t="s">
        <v>135</v>
      </c>
      <c r="S1" s="5" t="s">
        <v>136</v>
      </c>
      <c r="T1" s="5" t="s">
        <v>137</v>
      </c>
      <c r="U1" s="6" t="s">
        <v>138</v>
      </c>
    </row>
    <row r="2" spans="1:21" x14ac:dyDescent="0.25">
      <c r="A2" s="7" t="s">
        <v>0</v>
      </c>
      <c r="B2" s="8" t="s">
        <v>2</v>
      </c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1"/>
    </row>
    <row r="3" spans="1:21" x14ac:dyDescent="0.25">
      <c r="A3" s="12">
        <v>7600</v>
      </c>
      <c r="B3" s="13" t="s">
        <v>3</v>
      </c>
      <c r="C3" s="14">
        <f t="shared" ref="C3:C11" si="0">D3+E3+F3+G3+H3+I3+J3+K3+L3+M3+N3+O3+P3+Q3+R3+S3+T3+U3</f>
        <v>4000</v>
      </c>
      <c r="D3" s="14"/>
      <c r="E3" s="15"/>
      <c r="F3" s="15"/>
      <c r="G3" s="15"/>
      <c r="H3" s="15"/>
      <c r="I3" s="16"/>
      <c r="J3" s="16"/>
      <c r="K3" s="16"/>
      <c r="L3" s="16"/>
      <c r="M3" s="15"/>
      <c r="N3" s="16"/>
      <c r="O3" s="15"/>
      <c r="P3" s="15"/>
      <c r="Q3" s="17">
        <v>500</v>
      </c>
      <c r="R3" s="15"/>
      <c r="S3" s="15"/>
      <c r="T3" s="15"/>
      <c r="U3" s="18">
        <v>3500</v>
      </c>
    </row>
    <row r="4" spans="1:21" x14ac:dyDescent="0.25">
      <c r="A4" s="12">
        <v>7601</v>
      </c>
      <c r="B4" s="13" t="s">
        <v>4</v>
      </c>
      <c r="C4" s="14">
        <f t="shared" si="0"/>
        <v>70000</v>
      </c>
      <c r="D4" s="14">
        <v>70000</v>
      </c>
      <c r="E4" s="15"/>
      <c r="F4" s="15"/>
      <c r="G4" s="15"/>
      <c r="H4" s="15"/>
      <c r="I4" s="16"/>
      <c r="J4" s="16"/>
      <c r="K4" s="16"/>
      <c r="L4" s="16"/>
      <c r="M4" s="15"/>
      <c r="N4" s="16"/>
      <c r="O4" s="15"/>
      <c r="P4" s="15"/>
      <c r="Q4" s="15"/>
      <c r="R4" s="15"/>
      <c r="S4" s="15"/>
      <c r="T4" s="15"/>
      <c r="U4" s="19"/>
    </row>
    <row r="5" spans="1:21" x14ac:dyDescent="0.25">
      <c r="A5" s="12">
        <v>7602</v>
      </c>
      <c r="B5" s="13" t="s">
        <v>5</v>
      </c>
      <c r="C5" s="14">
        <f t="shared" si="0"/>
        <v>116100</v>
      </c>
      <c r="D5" s="14"/>
      <c r="E5" s="17">
        <v>44400</v>
      </c>
      <c r="F5" s="17">
        <v>3500</v>
      </c>
      <c r="G5" s="15"/>
      <c r="H5" s="17">
        <f>30000+30000</f>
        <v>60000</v>
      </c>
      <c r="I5" s="15"/>
      <c r="J5" s="17">
        <v>500</v>
      </c>
      <c r="K5" s="17">
        <v>500</v>
      </c>
      <c r="L5" s="17">
        <v>2000</v>
      </c>
      <c r="M5" s="17">
        <v>2000</v>
      </c>
      <c r="N5" s="20">
        <v>3000</v>
      </c>
      <c r="O5" s="15"/>
      <c r="P5" s="15"/>
      <c r="Q5" s="15"/>
      <c r="R5" s="17">
        <v>200</v>
      </c>
      <c r="S5" s="15"/>
      <c r="T5" s="15"/>
      <c r="U5" s="19"/>
    </row>
    <row r="6" spans="1:21" x14ac:dyDescent="0.25">
      <c r="A6" s="12">
        <v>7603</v>
      </c>
      <c r="B6" s="13" t="s">
        <v>6</v>
      </c>
      <c r="C6" s="14">
        <f t="shared" si="0"/>
        <v>3000</v>
      </c>
      <c r="D6" s="14">
        <v>2500</v>
      </c>
      <c r="E6" s="15"/>
      <c r="F6" s="15"/>
      <c r="G6" s="17">
        <v>500</v>
      </c>
      <c r="H6" s="15"/>
      <c r="I6" s="16"/>
      <c r="J6" s="16"/>
      <c r="K6" s="16"/>
      <c r="L6" s="16"/>
      <c r="M6" s="17">
        <v>0</v>
      </c>
      <c r="N6" s="16"/>
      <c r="O6" s="15"/>
      <c r="P6" s="15"/>
      <c r="Q6" s="15"/>
      <c r="R6" s="15"/>
      <c r="S6" s="15"/>
      <c r="T6" s="15"/>
      <c r="U6" s="19"/>
    </row>
    <row r="7" spans="1:21" x14ac:dyDescent="0.25">
      <c r="A7" s="12">
        <v>7604</v>
      </c>
      <c r="B7" s="13" t="s">
        <v>7</v>
      </c>
      <c r="C7" s="14">
        <f t="shared" si="0"/>
        <v>500</v>
      </c>
      <c r="D7" s="14">
        <v>0</v>
      </c>
      <c r="E7" s="15"/>
      <c r="F7" s="15"/>
      <c r="G7" s="15"/>
      <c r="H7" s="15"/>
      <c r="I7" s="16"/>
      <c r="J7" s="16"/>
      <c r="K7" s="16"/>
      <c r="L7" s="16"/>
      <c r="M7" s="15"/>
      <c r="N7" s="16"/>
      <c r="O7" s="15"/>
      <c r="P7" s="15"/>
      <c r="Q7" s="15"/>
      <c r="R7" s="15"/>
      <c r="S7" s="17">
        <v>500</v>
      </c>
      <c r="T7" s="15"/>
      <c r="U7" s="19"/>
    </row>
    <row r="8" spans="1:21" x14ac:dyDescent="0.25">
      <c r="A8" s="12">
        <v>7605</v>
      </c>
      <c r="B8" s="13" t="s">
        <v>8</v>
      </c>
      <c r="C8" s="14">
        <f t="shared" si="0"/>
        <v>23000</v>
      </c>
      <c r="D8" s="14"/>
      <c r="E8" s="15"/>
      <c r="F8" s="15"/>
      <c r="G8" s="15"/>
      <c r="H8" s="15"/>
      <c r="I8" s="20">
        <v>23000</v>
      </c>
      <c r="J8" s="15"/>
      <c r="K8" s="16"/>
      <c r="L8" s="16"/>
      <c r="M8" s="15"/>
      <c r="N8" s="16"/>
      <c r="O8" s="15"/>
      <c r="P8" s="15"/>
      <c r="Q8" s="15"/>
      <c r="R8" s="15"/>
      <c r="S8" s="15"/>
      <c r="T8" s="15"/>
      <c r="U8" s="19"/>
    </row>
    <row r="9" spans="1:21" x14ac:dyDescent="0.25">
      <c r="A9" s="12">
        <v>7606</v>
      </c>
      <c r="B9" s="13" t="s">
        <v>9</v>
      </c>
      <c r="C9" s="14">
        <f t="shared" si="0"/>
        <v>1500</v>
      </c>
      <c r="D9" s="14">
        <v>1500</v>
      </c>
      <c r="E9" s="15"/>
      <c r="F9" s="15"/>
      <c r="G9" s="15"/>
      <c r="H9" s="15"/>
      <c r="I9" s="16"/>
      <c r="J9" s="15"/>
      <c r="K9" s="16"/>
      <c r="L9" s="16"/>
      <c r="M9" s="15"/>
      <c r="N9" s="16"/>
      <c r="O9" s="15"/>
      <c r="P9" s="15"/>
      <c r="Q9" s="15"/>
      <c r="R9" s="15"/>
      <c r="S9" s="15"/>
      <c r="T9" s="15"/>
      <c r="U9" s="19"/>
    </row>
    <row r="10" spans="1:21" x14ac:dyDescent="0.25">
      <c r="A10" s="12">
        <v>7607</v>
      </c>
      <c r="B10" s="13" t="s">
        <v>10</v>
      </c>
      <c r="C10" s="14">
        <f t="shared" si="0"/>
        <v>0</v>
      </c>
      <c r="D10" s="14">
        <v>0</v>
      </c>
      <c r="E10" s="16"/>
      <c r="F10" s="15"/>
      <c r="G10" s="15"/>
      <c r="H10" s="15"/>
      <c r="I10" s="16"/>
      <c r="J10" s="16"/>
      <c r="K10" s="16"/>
      <c r="L10" s="16"/>
      <c r="M10" s="15"/>
      <c r="N10" s="16"/>
      <c r="O10" s="15"/>
      <c r="P10" s="15"/>
      <c r="Q10" s="15"/>
      <c r="R10" s="15"/>
      <c r="S10" s="15"/>
      <c r="T10" s="15"/>
      <c r="U10" s="19"/>
    </row>
    <row r="11" spans="1:21" x14ac:dyDescent="0.25">
      <c r="A11" s="21">
        <v>76</v>
      </c>
      <c r="B11" s="22" t="s">
        <v>11</v>
      </c>
      <c r="C11" s="14">
        <f t="shared" si="0"/>
        <v>218100</v>
      </c>
      <c r="D11" s="14">
        <f t="shared" ref="D11:T11" si="1">SUM(D3:D10)</f>
        <v>74000</v>
      </c>
      <c r="E11" s="14">
        <f t="shared" si="1"/>
        <v>44400</v>
      </c>
      <c r="F11" s="14">
        <f t="shared" si="1"/>
        <v>3500</v>
      </c>
      <c r="G11" s="14">
        <f t="shared" si="1"/>
        <v>500</v>
      </c>
      <c r="H11" s="14">
        <f t="shared" si="1"/>
        <v>60000</v>
      </c>
      <c r="I11" s="14">
        <f t="shared" si="1"/>
        <v>23000</v>
      </c>
      <c r="J11" s="14">
        <f t="shared" si="1"/>
        <v>500</v>
      </c>
      <c r="K11" s="14">
        <f t="shared" si="1"/>
        <v>500</v>
      </c>
      <c r="L11" s="14">
        <f t="shared" si="1"/>
        <v>2000</v>
      </c>
      <c r="M11" s="14">
        <f t="shared" si="1"/>
        <v>2000</v>
      </c>
      <c r="N11" s="14">
        <f t="shared" si="1"/>
        <v>3000</v>
      </c>
      <c r="O11" s="14">
        <f t="shared" si="1"/>
        <v>0</v>
      </c>
      <c r="P11" s="14">
        <f t="shared" si="1"/>
        <v>0</v>
      </c>
      <c r="Q11" s="14">
        <f t="shared" si="1"/>
        <v>500</v>
      </c>
      <c r="R11" s="14">
        <f t="shared" si="1"/>
        <v>200</v>
      </c>
      <c r="S11" s="14">
        <f t="shared" si="1"/>
        <v>500</v>
      </c>
      <c r="T11" s="14">
        <f t="shared" si="1"/>
        <v>0</v>
      </c>
      <c r="U11" s="23">
        <f>SUM(U3:U10)</f>
        <v>3500</v>
      </c>
    </row>
    <row r="12" spans="1:21" x14ac:dyDescent="0.25">
      <c r="A12" s="21">
        <v>78</v>
      </c>
      <c r="B12" s="22" t="s">
        <v>12</v>
      </c>
      <c r="C12" s="22">
        <v>0</v>
      </c>
      <c r="D12" s="24"/>
      <c r="E12" s="25"/>
      <c r="F12" s="25"/>
      <c r="G12" s="25"/>
      <c r="H12" s="26"/>
      <c r="I12" s="25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7"/>
    </row>
    <row r="13" spans="1:21" x14ac:dyDescent="0.25">
      <c r="A13" s="21">
        <v>7</v>
      </c>
      <c r="B13" s="22" t="s">
        <v>13</v>
      </c>
      <c r="C13" s="28">
        <f t="shared" ref="C13:U13" si="2">C11+C12</f>
        <v>218100</v>
      </c>
      <c r="D13" s="28">
        <f t="shared" si="2"/>
        <v>74000</v>
      </c>
      <c r="E13" s="28">
        <f t="shared" si="2"/>
        <v>44400</v>
      </c>
      <c r="F13" s="28">
        <f t="shared" si="2"/>
        <v>3500</v>
      </c>
      <c r="G13" s="28">
        <f t="shared" si="2"/>
        <v>500</v>
      </c>
      <c r="H13" s="28">
        <f t="shared" si="2"/>
        <v>60000</v>
      </c>
      <c r="I13" s="28">
        <f t="shared" si="2"/>
        <v>23000</v>
      </c>
      <c r="J13" s="28">
        <f t="shared" si="2"/>
        <v>500</v>
      </c>
      <c r="K13" s="28">
        <f t="shared" si="2"/>
        <v>500</v>
      </c>
      <c r="L13" s="28">
        <f t="shared" si="2"/>
        <v>2000</v>
      </c>
      <c r="M13" s="28">
        <f t="shared" si="2"/>
        <v>2000</v>
      </c>
      <c r="N13" s="28">
        <f t="shared" si="2"/>
        <v>3000</v>
      </c>
      <c r="O13" s="28">
        <f t="shared" si="2"/>
        <v>0</v>
      </c>
      <c r="P13" s="28">
        <f t="shared" si="2"/>
        <v>0</v>
      </c>
      <c r="Q13" s="28">
        <f t="shared" si="2"/>
        <v>500</v>
      </c>
      <c r="R13" s="28">
        <f t="shared" si="2"/>
        <v>200</v>
      </c>
      <c r="S13" s="28">
        <f t="shared" si="2"/>
        <v>500</v>
      </c>
      <c r="T13" s="28">
        <f t="shared" si="2"/>
        <v>0</v>
      </c>
      <c r="U13" s="29">
        <f t="shared" si="2"/>
        <v>3500</v>
      </c>
    </row>
    <row r="14" spans="1:21" x14ac:dyDescent="0.25">
      <c r="A14" s="21">
        <v>702</v>
      </c>
      <c r="B14" s="22" t="s">
        <v>14</v>
      </c>
      <c r="C14" s="22"/>
      <c r="D14" s="30"/>
      <c r="E14" s="31"/>
      <c r="F14" s="32"/>
      <c r="G14" s="31"/>
      <c r="H14" s="33"/>
      <c r="I14" s="34"/>
      <c r="J14" s="35"/>
      <c r="K14" s="35"/>
      <c r="L14" s="33"/>
      <c r="M14" s="33"/>
      <c r="N14" s="35"/>
      <c r="O14" s="36"/>
      <c r="P14" s="37"/>
      <c r="Q14" s="37"/>
      <c r="R14" s="37"/>
      <c r="S14" s="37"/>
      <c r="T14" s="37"/>
      <c r="U14" s="38"/>
    </row>
    <row r="15" spans="1:21" x14ac:dyDescent="0.25">
      <c r="A15" s="12">
        <v>7400</v>
      </c>
      <c r="B15" s="13" t="s">
        <v>15</v>
      </c>
      <c r="C15" s="14">
        <f>D15+E15+F15+G15+H15+I15+J15+K15+L15+M15+N15+O15+P15+Q15+R15+S15+T15+U15</f>
        <v>1000</v>
      </c>
      <c r="D15" s="24">
        <v>1000</v>
      </c>
      <c r="E15" s="25"/>
      <c r="F15" s="25"/>
      <c r="G15" s="25"/>
      <c r="H15" s="15"/>
      <c r="I15" s="39"/>
      <c r="J15" s="16"/>
      <c r="K15" s="16"/>
      <c r="L15" s="15"/>
      <c r="M15" s="15"/>
      <c r="N15" s="16"/>
      <c r="O15" s="16"/>
      <c r="P15" s="15"/>
      <c r="Q15" s="15"/>
      <c r="R15" s="15"/>
      <c r="S15" s="15"/>
      <c r="T15" s="15"/>
      <c r="U15" s="19"/>
    </row>
    <row r="16" spans="1:21" x14ac:dyDescent="0.25">
      <c r="A16" s="21">
        <v>74</v>
      </c>
      <c r="B16" s="22" t="s">
        <v>16</v>
      </c>
      <c r="C16" s="14">
        <v>0</v>
      </c>
      <c r="D16" s="39">
        <v>0</v>
      </c>
      <c r="E16" s="39"/>
      <c r="F16" s="39"/>
      <c r="G16" s="39"/>
      <c r="H16" s="40"/>
      <c r="I16" s="39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1"/>
    </row>
    <row r="17" spans="1:21" x14ac:dyDescent="0.25">
      <c r="A17" s="12">
        <v>702</v>
      </c>
      <c r="B17" s="13" t="s">
        <v>17</v>
      </c>
      <c r="C17" s="14">
        <f>D17+E17+F17+G17+H17+I17+J17+K17+L17+M17+N17+O17+P17+Q17+R17+S17+T17+U17</f>
        <v>15500</v>
      </c>
      <c r="D17" s="39"/>
      <c r="E17" s="39"/>
      <c r="F17" s="39"/>
      <c r="G17" s="39"/>
      <c r="H17" s="16"/>
      <c r="I17" s="39">
        <v>15500</v>
      </c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42"/>
    </row>
    <row r="18" spans="1:21" x14ac:dyDescent="0.25">
      <c r="A18" s="12">
        <v>4001</v>
      </c>
      <c r="B18" s="13" t="s">
        <v>18</v>
      </c>
      <c r="C18" s="14">
        <f>D18+E18+F18+G18+H18+I18+J18+K18+L18+M18+N18+O18+P18+Q18+R18+S18+T18+U18</f>
        <v>9000</v>
      </c>
      <c r="D18" s="20">
        <v>6000</v>
      </c>
      <c r="E18" s="17">
        <v>3000</v>
      </c>
      <c r="F18" s="25"/>
      <c r="G18" s="25"/>
      <c r="H18" s="15"/>
      <c r="I18" s="39"/>
      <c r="J18" s="16"/>
      <c r="K18" s="16"/>
      <c r="L18" s="16"/>
      <c r="M18" s="15"/>
      <c r="N18" s="16"/>
      <c r="O18" s="15"/>
      <c r="P18" s="15"/>
      <c r="Q18" s="17">
        <v>0</v>
      </c>
      <c r="R18" s="15"/>
      <c r="S18" s="15"/>
      <c r="T18" s="15"/>
      <c r="U18" s="19"/>
    </row>
    <row r="19" spans="1:21" hidden="1" x14ac:dyDescent="0.25">
      <c r="A19" s="12"/>
      <c r="B19" s="13"/>
      <c r="C19" s="43"/>
      <c r="D19" s="20"/>
      <c r="E19" s="17"/>
      <c r="F19" s="25"/>
      <c r="G19" s="25"/>
      <c r="H19" s="15"/>
      <c r="I19" s="39"/>
      <c r="J19" s="16"/>
      <c r="K19" s="16"/>
      <c r="L19" s="16"/>
      <c r="M19" s="15"/>
      <c r="N19" s="16"/>
      <c r="O19" s="15"/>
      <c r="P19" s="15"/>
      <c r="Q19" s="17"/>
      <c r="R19" s="15"/>
      <c r="S19" s="15"/>
      <c r="T19" s="15"/>
      <c r="U19" s="19"/>
    </row>
    <row r="20" spans="1:21" hidden="1" x14ac:dyDescent="0.25">
      <c r="A20" s="12"/>
      <c r="B20" s="13"/>
      <c r="C20" s="43"/>
      <c r="D20" s="20"/>
      <c r="E20" s="17"/>
      <c r="F20" s="25"/>
      <c r="G20" s="25"/>
      <c r="H20" s="15"/>
      <c r="I20" s="39"/>
      <c r="J20" s="16"/>
      <c r="K20" s="16"/>
      <c r="L20" s="16"/>
      <c r="M20" s="15"/>
      <c r="N20" s="16"/>
      <c r="O20" s="15"/>
      <c r="P20" s="15"/>
      <c r="Q20" s="17"/>
      <c r="R20" s="15"/>
      <c r="S20" s="15"/>
      <c r="T20" s="15"/>
      <c r="U20" s="19"/>
    </row>
    <row r="21" spans="1:21" hidden="1" x14ac:dyDescent="0.25">
      <c r="A21" s="12"/>
      <c r="B21" s="13"/>
      <c r="C21" s="43"/>
      <c r="D21" s="20"/>
      <c r="E21" s="17"/>
      <c r="F21" s="25"/>
      <c r="G21" s="25"/>
      <c r="H21" s="15"/>
      <c r="I21" s="39"/>
      <c r="J21" s="16"/>
      <c r="K21" s="16"/>
      <c r="L21" s="16"/>
      <c r="M21" s="15"/>
      <c r="N21" s="16"/>
      <c r="O21" s="15"/>
      <c r="P21" s="15"/>
      <c r="Q21" s="17"/>
      <c r="R21" s="15"/>
      <c r="S21" s="15"/>
      <c r="T21" s="15"/>
      <c r="U21" s="19"/>
    </row>
    <row r="22" spans="1:21" hidden="1" x14ac:dyDescent="0.25">
      <c r="A22" s="12"/>
      <c r="B22" s="13"/>
      <c r="C22" s="43"/>
      <c r="D22" s="20"/>
      <c r="E22" s="17"/>
      <c r="F22" s="25"/>
      <c r="G22" s="25"/>
      <c r="H22" s="15"/>
      <c r="I22" s="39"/>
      <c r="J22" s="16"/>
      <c r="K22" s="16"/>
      <c r="L22" s="16"/>
      <c r="M22" s="15"/>
      <c r="N22" s="16"/>
      <c r="O22" s="15"/>
      <c r="P22" s="15"/>
      <c r="Q22" s="17"/>
      <c r="R22" s="15"/>
      <c r="S22" s="15"/>
      <c r="T22" s="15"/>
      <c r="U22" s="19"/>
    </row>
    <row r="23" spans="1:21" hidden="1" x14ac:dyDescent="0.25">
      <c r="A23" s="12"/>
      <c r="B23" s="13"/>
      <c r="C23" s="43"/>
      <c r="D23" s="20"/>
      <c r="E23" s="17"/>
      <c r="F23" s="25"/>
      <c r="G23" s="25"/>
      <c r="H23" s="15"/>
      <c r="I23" s="39"/>
      <c r="J23" s="16"/>
      <c r="K23" s="16"/>
      <c r="L23" s="16"/>
      <c r="M23" s="15"/>
      <c r="N23" s="16"/>
      <c r="O23" s="15"/>
      <c r="P23" s="15"/>
      <c r="Q23" s="17"/>
      <c r="R23" s="15"/>
      <c r="S23" s="15"/>
      <c r="T23" s="15"/>
      <c r="U23" s="19"/>
    </row>
    <row r="24" spans="1:21" hidden="1" x14ac:dyDescent="0.25">
      <c r="A24" s="12"/>
      <c r="B24" s="13" t="s">
        <v>19</v>
      </c>
      <c r="C24" s="43">
        <v>0</v>
      </c>
      <c r="D24" s="20"/>
      <c r="E24" s="17"/>
      <c r="F24" s="25"/>
      <c r="G24" s="25"/>
      <c r="H24" s="15"/>
      <c r="I24" s="39"/>
      <c r="J24" s="16"/>
      <c r="K24" s="16"/>
      <c r="L24" s="16"/>
      <c r="M24" s="15"/>
      <c r="N24" s="16"/>
      <c r="O24" s="15"/>
      <c r="P24" s="15"/>
      <c r="Q24" s="17"/>
      <c r="R24" s="15"/>
      <c r="S24" s="15"/>
      <c r="T24" s="15"/>
      <c r="U24" s="19"/>
    </row>
    <row r="25" spans="1:21" hidden="1" x14ac:dyDescent="0.25">
      <c r="A25" s="12"/>
      <c r="B25" s="13" t="s">
        <v>20</v>
      </c>
      <c r="C25" s="43">
        <v>0</v>
      </c>
      <c r="D25" s="20"/>
      <c r="E25" s="17"/>
      <c r="F25" s="25"/>
      <c r="G25" s="25"/>
      <c r="H25" s="15"/>
      <c r="I25" s="39"/>
      <c r="J25" s="16"/>
      <c r="K25" s="16"/>
      <c r="L25" s="16"/>
      <c r="M25" s="15"/>
      <c r="N25" s="16"/>
      <c r="O25" s="15"/>
      <c r="P25" s="15"/>
      <c r="Q25" s="17"/>
      <c r="R25" s="15"/>
      <c r="S25" s="15"/>
      <c r="T25" s="15"/>
      <c r="U25" s="19"/>
    </row>
    <row r="26" spans="1:21" hidden="1" x14ac:dyDescent="0.25">
      <c r="A26" s="12"/>
      <c r="B26" s="13" t="s">
        <v>21</v>
      </c>
      <c r="C26" s="43">
        <v>0</v>
      </c>
      <c r="D26" s="20"/>
      <c r="E26" s="17"/>
      <c r="F26" s="25"/>
      <c r="G26" s="25"/>
      <c r="H26" s="15"/>
      <c r="I26" s="39"/>
      <c r="J26" s="16"/>
      <c r="K26" s="16"/>
      <c r="L26" s="16"/>
      <c r="M26" s="15"/>
      <c r="N26" s="16"/>
      <c r="O26" s="15"/>
      <c r="P26" s="15"/>
      <c r="Q26" s="17"/>
      <c r="R26" s="15"/>
      <c r="S26" s="15"/>
      <c r="T26" s="15"/>
      <c r="U26" s="19"/>
    </row>
    <row r="27" spans="1:21" hidden="1" x14ac:dyDescent="0.25">
      <c r="A27" s="12"/>
      <c r="B27" s="13" t="s">
        <v>22</v>
      </c>
      <c r="C27" s="43">
        <v>0</v>
      </c>
      <c r="D27" s="20"/>
      <c r="E27" s="17"/>
      <c r="F27" s="25"/>
      <c r="G27" s="25"/>
      <c r="H27" s="15"/>
      <c r="I27" s="39"/>
      <c r="J27" s="16"/>
      <c r="K27" s="16"/>
      <c r="L27" s="16"/>
      <c r="M27" s="15"/>
      <c r="N27" s="16"/>
      <c r="O27" s="15"/>
      <c r="P27" s="15"/>
      <c r="Q27" s="17"/>
      <c r="R27" s="15"/>
      <c r="S27" s="15"/>
      <c r="T27" s="15"/>
      <c r="U27" s="19"/>
    </row>
    <row r="28" spans="1:21" hidden="1" x14ac:dyDescent="0.25">
      <c r="A28" s="12"/>
      <c r="B28" s="13" t="s">
        <v>23</v>
      </c>
      <c r="C28" s="43">
        <v>0</v>
      </c>
      <c r="D28" s="20"/>
      <c r="E28" s="17"/>
      <c r="F28" s="25"/>
      <c r="G28" s="25"/>
      <c r="H28" s="15"/>
      <c r="I28" s="39"/>
      <c r="J28" s="16"/>
      <c r="K28" s="16"/>
      <c r="L28" s="16"/>
      <c r="M28" s="15"/>
      <c r="N28" s="16"/>
      <c r="O28" s="15"/>
      <c r="P28" s="15"/>
      <c r="Q28" s="17"/>
      <c r="R28" s="15"/>
      <c r="S28" s="15"/>
      <c r="T28" s="15"/>
      <c r="U28" s="19"/>
    </row>
    <row r="29" spans="1:21" hidden="1" x14ac:dyDescent="0.25">
      <c r="A29" s="12"/>
      <c r="B29" s="13" t="s">
        <v>24</v>
      </c>
      <c r="C29" s="43">
        <v>0</v>
      </c>
      <c r="D29" s="20"/>
      <c r="E29" s="17"/>
      <c r="F29" s="25"/>
      <c r="G29" s="25"/>
      <c r="H29" s="15"/>
      <c r="I29" s="39"/>
      <c r="J29" s="16"/>
      <c r="K29" s="16"/>
      <c r="L29" s="16"/>
      <c r="M29" s="15"/>
      <c r="N29" s="16"/>
      <c r="O29" s="15"/>
      <c r="P29" s="15"/>
      <c r="Q29" s="17"/>
      <c r="R29" s="15"/>
      <c r="S29" s="15"/>
      <c r="T29" s="15"/>
      <c r="U29" s="19"/>
    </row>
    <row r="30" spans="1:21" hidden="1" x14ac:dyDescent="0.25">
      <c r="A30" s="12"/>
      <c r="B30" s="13" t="s">
        <v>25</v>
      </c>
      <c r="C30" s="43">
        <v>0</v>
      </c>
      <c r="D30" s="20"/>
      <c r="E30" s="17"/>
      <c r="F30" s="25"/>
      <c r="G30" s="25"/>
      <c r="H30" s="15"/>
      <c r="I30" s="39"/>
      <c r="J30" s="16"/>
      <c r="K30" s="16"/>
      <c r="L30" s="16"/>
      <c r="M30" s="15"/>
      <c r="N30" s="16"/>
      <c r="O30" s="15"/>
      <c r="P30" s="15"/>
      <c r="Q30" s="17"/>
      <c r="R30" s="15"/>
      <c r="S30" s="15"/>
      <c r="T30" s="15"/>
      <c r="U30" s="19"/>
    </row>
    <row r="31" spans="1:21" hidden="1" x14ac:dyDescent="0.25">
      <c r="A31" s="12"/>
      <c r="B31" s="13" t="s">
        <v>26</v>
      </c>
      <c r="C31" s="43">
        <v>0</v>
      </c>
      <c r="D31" s="20"/>
      <c r="E31" s="17"/>
      <c r="F31" s="25"/>
      <c r="G31" s="25"/>
      <c r="H31" s="15"/>
      <c r="I31" s="39"/>
      <c r="J31" s="16"/>
      <c r="K31" s="16"/>
      <c r="L31" s="16"/>
      <c r="M31" s="15"/>
      <c r="N31" s="16"/>
      <c r="O31" s="15"/>
      <c r="P31" s="15"/>
      <c r="Q31" s="17"/>
      <c r="R31" s="15"/>
      <c r="S31" s="15"/>
      <c r="T31" s="15"/>
      <c r="U31" s="19"/>
    </row>
    <row r="32" spans="1:21" hidden="1" x14ac:dyDescent="0.25">
      <c r="A32" s="12"/>
      <c r="B32" s="13" t="s">
        <v>27</v>
      </c>
      <c r="C32" s="43"/>
      <c r="D32" s="20"/>
      <c r="E32" s="17"/>
      <c r="F32" s="25"/>
      <c r="G32" s="25"/>
      <c r="H32" s="15"/>
      <c r="I32" s="39"/>
      <c r="J32" s="16"/>
      <c r="K32" s="16"/>
      <c r="L32" s="16"/>
      <c r="M32" s="15"/>
      <c r="N32" s="16"/>
      <c r="O32" s="15"/>
      <c r="P32" s="15"/>
      <c r="Q32" s="17"/>
      <c r="R32" s="15"/>
      <c r="S32" s="15"/>
      <c r="T32" s="15"/>
      <c r="U32" s="19"/>
    </row>
    <row r="33" spans="1:21" hidden="1" x14ac:dyDescent="0.25">
      <c r="A33" s="12"/>
      <c r="B33" s="13" t="s">
        <v>28</v>
      </c>
      <c r="C33" s="43"/>
      <c r="D33" s="20"/>
      <c r="E33" s="17"/>
      <c r="F33" s="25"/>
      <c r="G33" s="25"/>
      <c r="H33" s="15"/>
      <c r="I33" s="39"/>
      <c r="J33" s="16"/>
      <c r="K33" s="16"/>
      <c r="L33" s="16"/>
      <c r="M33" s="15"/>
      <c r="N33" s="16"/>
      <c r="O33" s="15"/>
      <c r="P33" s="15"/>
      <c r="Q33" s="17"/>
      <c r="R33" s="15"/>
      <c r="S33" s="15"/>
      <c r="T33" s="15"/>
      <c r="U33" s="19"/>
    </row>
    <row r="34" spans="1:21" hidden="1" x14ac:dyDescent="0.25">
      <c r="A34" s="12"/>
      <c r="B34" s="13" t="s">
        <v>29</v>
      </c>
      <c r="C34" s="43"/>
      <c r="D34" s="20"/>
      <c r="E34" s="17"/>
      <c r="F34" s="25"/>
      <c r="G34" s="25"/>
      <c r="H34" s="15"/>
      <c r="I34" s="39"/>
      <c r="J34" s="16"/>
      <c r="K34" s="16"/>
      <c r="L34" s="16"/>
      <c r="M34" s="15"/>
      <c r="N34" s="16"/>
      <c r="O34" s="15"/>
      <c r="P34" s="15"/>
      <c r="Q34" s="17"/>
      <c r="R34" s="15"/>
      <c r="S34" s="15"/>
      <c r="T34" s="15"/>
      <c r="U34" s="19"/>
    </row>
    <row r="35" spans="1:21" hidden="1" x14ac:dyDescent="0.25">
      <c r="A35" s="12"/>
      <c r="B35" s="13" t="s">
        <v>21</v>
      </c>
      <c r="C35" s="43"/>
      <c r="D35" s="20"/>
      <c r="E35" s="17"/>
      <c r="F35" s="25"/>
      <c r="G35" s="25"/>
      <c r="H35" s="15"/>
      <c r="I35" s="39"/>
      <c r="J35" s="16"/>
      <c r="K35" s="16"/>
      <c r="L35" s="16"/>
      <c r="M35" s="15"/>
      <c r="N35" s="16"/>
      <c r="O35" s="15"/>
      <c r="P35" s="15"/>
      <c r="Q35" s="17"/>
      <c r="R35" s="15"/>
      <c r="S35" s="15"/>
      <c r="T35" s="15"/>
      <c r="U35" s="19"/>
    </row>
    <row r="36" spans="1:21" hidden="1" x14ac:dyDescent="0.25">
      <c r="A36" s="12"/>
      <c r="B36" s="13" t="s">
        <v>30</v>
      </c>
      <c r="C36" s="43"/>
      <c r="D36" s="20"/>
      <c r="E36" s="17"/>
      <c r="F36" s="25"/>
      <c r="G36" s="25"/>
      <c r="H36" s="15"/>
      <c r="I36" s="39"/>
      <c r="J36" s="16"/>
      <c r="K36" s="16"/>
      <c r="L36" s="16"/>
      <c r="M36" s="15"/>
      <c r="N36" s="16"/>
      <c r="O36" s="15"/>
      <c r="P36" s="15"/>
      <c r="Q36" s="17"/>
      <c r="R36" s="15"/>
      <c r="S36" s="15"/>
      <c r="T36" s="15"/>
      <c r="U36" s="19"/>
    </row>
    <row r="37" spans="1:21" hidden="1" x14ac:dyDescent="0.25">
      <c r="A37" s="12"/>
      <c r="B37" s="13" t="s">
        <v>31</v>
      </c>
      <c r="C37" s="43"/>
      <c r="D37" s="20"/>
      <c r="E37" s="17"/>
      <c r="F37" s="25"/>
      <c r="G37" s="25"/>
      <c r="H37" s="15"/>
      <c r="I37" s="39"/>
      <c r="J37" s="16"/>
      <c r="K37" s="16"/>
      <c r="L37" s="16"/>
      <c r="M37" s="15"/>
      <c r="N37" s="16"/>
      <c r="O37" s="15"/>
      <c r="P37" s="15"/>
      <c r="Q37" s="17"/>
      <c r="R37" s="15"/>
      <c r="S37" s="15"/>
      <c r="T37" s="15"/>
      <c r="U37" s="19"/>
    </row>
    <row r="38" spans="1:21" hidden="1" x14ac:dyDescent="0.25">
      <c r="A38" s="12"/>
      <c r="B38" s="13"/>
      <c r="C38" s="43"/>
      <c r="D38" s="20"/>
      <c r="E38" s="17"/>
      <c r="F38" s="25"/>
      <c r="G38" s="25"/>
      <c r="H38" s="15"/>
      <c r="I38" s="39"/>
      <c r="J38" s="16"/>
      <c r="K38" s="16"/>
      <c r="L38" s="16"/>
      <c r="M38" s="15"/>
      <c r="N38" s="16"/>
      <c r="O38" s="15"/>
      <c r="P38" s="15"/>
      <c r="Q38" s="17"/>
      <c r="R38" s="15"/>
      <c r="S38" s="15"/>
      <c r="T38" s="15"/>
      <c r="U38" s="19"/>
    </row>
    <row r="39" spans="1:21" hidden="1" x14ac:dyDescent="0.25">
      <c r="A39" s="12"/>
      <c r="B39" s="13" t="s">
        <v>32</v>
      </c>
      <c r="C39" s="43"/>
      <c r="D39" s="20"/>
      <c r="E39" s="17"/>
      <c r="F39" s="25"/>
      <c r="G39" s="25"/>
      <c r="H39" s="15"/>
      <c r="I39" s="39"/>
      <c r="J39" s="16"/>
      <c r="K39" s="16"/>
      <c r="L39" s="16"/>
      <c r="M39" s="15"/>
      <c r="N39" s="16"/>
      <c r="O39" s="15"/>
      <c r="P39" s="15"/>
      <c r="Q39" s="17"/>
      <c r="R39" s="15"/>
      <c r="S39" s="15"/>
      <c r="T39" s="15"/>
      <c r="U39" s="19"/>
    </row>
    <row r="40" spans="1:21" hidden="1" x14ac:dyDescent="0.25">
      <c r="A40" s="12"/>
      <c r="B40" s="13"/>
      <c r="C40" s="43"/>
      <c r="D40" s="20"/>
      <c r="E40" s="17"/>
      <c r="F40" s="25"/>
      <c r="G40" s="25"/>
      <c r="H40" s="15"/>
      <c r="I40" s="39"/>
      <c r="J40" s="16"/>
      <c r="K40" s="16"/>
      <c r="L40" s="16"/>
      <c r="M40" s="15"/>
      <c r="N40" s="16"/>
      <c r="O40" s="15"/>
      <c r="P40" s="15"/>
      <c r="Q40" s="17"/>
      <c r="R40" s="15"/>
      <c r="S40" s="15"/>
      <c r="T40" s="15"/>
      <c r="U40" s="19"/>
    </row>
    <row r="41" spans="1:21" hidden="1" x14ac:dyDescent="0.25">
      <c r="A41" s="12"/>
      <c r="B41" s="13" t="s">
        <v>33</v>
      </c>
      <c r="C41" s="43"/>
      <c r="D41" s="20"/>
      <c r="E41" s="17"/>
      <c r="F41" s="25"/>
      <c r="G41" s="25"/>
      <c r="H41" s="15"/>
      <c r="I41" s="39"/>
      <c r="J41" s="16"/>
      <c r="K41" s="16"/>
      <c r="L41" s="16"/>
      <c r="M41" s="15"/>
      <c r="N41" s="16"/>
      <c r="O41" s="15"/>
      <c r="P41" s="15"/>
      <c r="Q41" s="17"/>
      <c r="R41" s="15"/>
      <c r="S41" s="15"/>
      <c r="T41" s="15"/>
      <c r="U41" s="19"/>
    </row>
    <row r="42" spans="1:21" hidden="1" x14ac:dyDescent="0.25">
      <c r="A42" s="12"/>
      <c r="B42" s="13" t="s">
        <v>34</v>
      </c>
      <c r="C42" s="43"/>
      <c r="D42" s="20"/>
      <c r="E42" s="17"/>
      <c r="F42" s="25"/>
      <c r="G42" s="25"/>
      <c r="H42" s="15"/>
      <c r="I42" s="39"/>
      <c r="J42" s="16"/>
      <c r="K42" s="16"/>
      <c r="L42" s="16"/>
      <c r="M42" s="15"/>
      <c r="N42" s="16"/>
      <c r="O42" s="15"/>
      <c r="P42" s="15"/>
      <c r="Q42" s="17"/>
      <c r="R42" s="15"/>
      <c r="S42" s="15"/>
      <c r="T42" s="15"/>
      <c r="U42" s="19"/>
    </row>
    <row r="43" spans="1:21" hidden="1" x14ac:dyDescent="0.25">
      <c r="A43" s="12"/>
      <c r="B43" s="13" t="s">
        <v>35</v>
      </c>
      <c r="C43" s="43">
        <v>0</v>
      </c>
      <c r="D43" s="20"/>
      <c r="E43" s="17"/>
      <c r="F43" s="25"/>
      <c r="G43" s="25"/>
      <c r="H43" s="15"/>
      <c r="I43" s="39"/>
      <c r="J43" s="16"/>
      <c r="K43" s="16"/>
      <c r="L43" s="16"/>
      <c r="M43" s="15"/>
      <c r="N43" s="16"/>
      <c r="O43" s="15"/>
      <c r="P43" s="15"/>
      <c r="Q43" s="17"/>
      <c r="R43" s="15"/>
      <c r="S43" s="15"/>
      <c r="T43" s="15"/>
      <c r="U43" s="19"/>
    </row>
    <row r="44" spans="1:21" hidden="1" x14ac:dyDescent="0.25">
      <c r="A44" s="12"/>
      <c r="B44" s="13" t="s">
        <v>36</v>
      </c>
      <c r="C44" s="43">
        <v>0</v>
      </c>
      <c r="D44" s="20"/>
      <c r="E44" s="17"/>
      <c r="F44" s="25"/>
      <c r="G44" s="25"/>
      <c r="H44" s="15"/>
      <c r="I44" s="39"/>
      <c r="J44" s="16"/>
      <c r="K44" s="16"/>
      <c r="L44" s="16"/>
      <c r="M44" s="15"/>
      <c r="N44" s="16"/>
      <c r="O44" s="15"/>
      <c r="P44" s="15"/>
      <c r="Q44" s="17"/>
      <c r="R44" s="15"/>
      <c r="S44" s="15"/>
      <c r="T44" s="15"/>
      <c r="U44" s="19"/>
    </row>
    <row r="45" spans="1:21" hidden="1" x14ac:dyDescent="0.25">
      <c r="A45" s="12"/>
      <c r="B45" s="13" t="s">
        <v>37</v>
      </c>
      <c r="C45" s="43">
        <v>0</v>
      </c>
      <c r="D45" s="20"/>
      <c r="E45" s="17"/>
      <c r="F45" s="25"/>
      <c r="G45" s="25"/>
      <c r="H45" s="15"/>
      <c r="I45" s="39"/>
      <c r="J45" s="16"/>
      <c r="K45" s="16"/>
      <c r="L45" s="16"/>
      <c r="M45" s="15"/>
      <c r="N45" s="16"/>
      <c r="O45" s="15"/>
      <c r="P45" s="15"/>
      <c r="Q45" s="17"/>
      <c r="R45" s="15"/>
      <c r="S45" s="15"/>
      <c r="T45" s="15"/>
      <c r="U45" s="19"/>
    </row>
    <row r="46" spans="1:21" hidden="1" x14ac:dyDescent="0.25">
      <c r="A46" s="12"/>
      <c r="B46" s="13" t="s">
        <v>38</v>
      </c>
      <c r="C46" s="43">
        <v>0</v>
      </c>
      <c r="D46" s="20"/>
      <c r="E46" s="17"/>
      <c r="F46" s="25"/>
      <c r="G46" s="25"/>
      <c r="H46" s="15"/>
      <c r="I46" s="39"/>
      <c r="J46" s="16"/>
      <c r="K46" s="16"/>
      <c r="L46" s="16"/>
      <c r="M46" s="15"/>
      <c r="N46" s="16"/>
      <c r="O46" s="15"/>
      <c r="P46" s="15"/>
      <c r="Q46" s="17"/>
      <c r="R46" s="15"/>
      <c r="S46" s="15"/>
      <c r="T46" s="15"/>
      <c r="U46" s="19"/>
    </row>
    <row r="47" spans="1:21" hidden="1" x14ac:dyDescent="0.25">
      <c r="A47" s="12"/>
      <c r="B47" s="13" t="s">
        <v>39</v>
      </c>
      <c r="C47" s="43">
        <v>0</v>
      </c>
      <c r="D47" s="20"/>
      <c r="E47" s="17"/>
      <c r="F47" s="25"/>
      <c r="G47" s="25"/>
      <c r="H47" s="15"/>
      <c r="I47" s="39"/>
      <c r="J47" s="16"/>
      <c r="K47" s="16"/>
      <c r="L47" s="16"/>
      <c r="M47" s="15"/>
      <c r="N47" s="16"/>
      <c r="O47" s="15"/>
      <c r="P47" s="15"/>
      <c r="Q47" s="17"/>
      <c r="R47" s="15"/>
      <c r="S47" s="15"/>
      <c r="T47" s="15"/>
      <c r="U47" s="19"/>
    </row>
    <row r="48" spans="1:21" hidden="1" x14ac:dyDescent="0.25">
      <c r="A48" s="12"/>
      <c r="B48" s="13" t="s">
        <v>40</v>
      </c>
      <c r="C48" s="43"/>
      <c r="D48" s="20"/>
      <c r="E48" s="17"/>
      <c r="F48" s="25"/>
      <c r="G48" s="25"/>
      <c r="H48" s="15"/>
      <c r="I48" s="39"/>
      <c r="J48" s="16"/>
      <c r="K48" s="16"/>
      <c r="L48" s="16"/>
      <c r="M48" s="15"/>
      <c r="N48" s="16"/>
      <c r="O48" s="15"/>
      <c r="P48" s="15"/>
      <c r="Q48" s="17"/>
      <c r="R48" s="15"/>
      <c r="S48" s="15"/>
      <c r="T48" s="15"/>
      <c r="U48" s="19"/>
    </row>
    <row r="49" spans="1:21" hidden="1" x14ac:dyDescent="0.25">
      <c r="A49" s="12"/>
      <c r="B49" s="13" t="s">
        <v>41</v>
      </c>
      <c r="C49" s="43"/>
      <c r="D49" s="20"/>
      <c r="E49" s="17"/>
      <c r="F49" s="25"/>
      <c r="G49" s="25"/>
      <c r="H49" s="15"/>
      <c r="I49" s="39"/>
      <c r="J49" s="16"/>
      <c r="K49" s="16"/>
      <c r="L49" s="16"/>
      <c r="M49" s="15"/>
      <c r="N49" s="16"/>
      <c r="O49" s="15"/>
      <c r="P49" s="15"/>
      <c r="Q49" s="17"/>
      <c r="R49" s="15"/>
      <c r="S49" s="15"/>
      <c r="T49" s="15"/>
      <c r="U49" s="19"/>
    </row>
    <row r="50" spans="1:21" hidden="1" x14ac:dyDescent="0.25">
      <c r="A50" s="12"/>
      <c r="B50" s="13" t="s">
        <v>42</v>
      </c>
      <c r="C50" s="43"/>
      <c r="D50" s="20"/>
      <c r="E50" s="17"/>
      <c r="F50" s="25"/>
      <c r="G50" s="25"/>
      <c r="H50" s="15"/>
      <c r="I50" s="39"/>
      <c r="J50" s="16"/>
      <c r="K50" s="16"/>
      <c r="L50" s="16"/>
      <c r="M50" s="15"/>
      <c r="N50" s="16"/>
      <c r="O50" s="15"/>
      <c r="P50" s="15"/>
      <c r="Q50" s="17"/>
      <c r="R50" s="15"/>
      <c r="S50" s="15"/>
      <c r="T50" s="15"/>
      <c r="U50" s="19"/>
    </row>
    <row r="51" spans="1:21" x14ac:dyDescent="0.25">
      <c r="A51" s="12">
        <v>4020</v>
      </c>
      <c r="B51" s="13" t="s">
        <v>43</v>
      </c>
      <c r="C51" s="14">
        <f t="shared" ref="C51:C58" si="3">D51+E51+F51+G51+H51+I51+J51+K51+L51+M51+N51+O51+P51+Q51+R51+S51+T51+U51</f>
        <v>600</v>
      </c>
      <c r="D51" s="20">
        <v>300</v>
      </c>
      <c r="E51" s="25">
        <v>300</v>
      </c>
      <c r="F51" s="25"/>
      <c r="G51" s="25"/>
      <c r="H51" s="15"/>
      <c r="I51" s="39"/>
      <c r="J51" s="16"/>
      <c r="K51" s="16"/>
      <c r="L51" s="20"/>
      <c r="M51" s="16"/>
      <c r="N51" s="16"/>
      <c r="O51" s="15"/>
      <c r="P51" s="15"/>
      <c r="Q51" s="16"/>
      <c r="R51" s="15"/>
      <c r="S51" s="15"/>
      <c r="T51" s="15"/>
      <c r="U51" s="19"/>
    </row>
    <row r="52" spans="1:21" x14ac:dyDescent="0.25">
      <c r="A52" s="12">
        <v>4021</v>
      </c>
      <c r="B52" s="13" t="s">
        <v>44</v>
      </c>
      <c r="C52" s="14">
        <f t="shared" si="3"/>
        <v>400</v>
      </c>
      <c r="D52" s="39">
        <v>200</v>
      </c>
      <c r="E52" s="25">
        <v>200</v>
      </c>
      <c r="F52" s="25"/>
      <c r="G52" s="25"/>
      <c r="H52" s="15"/>
      <c r="I52" s="39"/>
      <c r="J52" s="16"/>
      <c r="K52" s="16"/>
      <c r="L52" s="16"/>
      <c r="M52" s="16"/>
      <c r="N52" s="16"/>
      <c r="O52" s="15"/>
      <c r="P52" s="15"/>
      <c r="Q52" s="16"/>
      <c r="R52" s="15"/>
      <c r="S52" s="15"/>
      <c r="T52" s="15"/>
      <c r="U52" s="19"/>
    </row>
    <row r="53" spans="1:21" x14ac:dyDescent="0.25">
      <c r="A53" s="12">
        <v>4040</v>
      </c>
      <c r="B53" s="13" t="s">
        <v>45</v>
      </c>
      <c r="C53" s="14">
        <f t="shared" si="3"/>
        <v>1000</v>
      </c>
      <c r="D53" s="20">
        <v>500</v>
      </c>
      <c r="E53" s="25">
        <v>500</v>
      </c>
      <c r="F53" s="25"/>
      <c r="G53" s="25"/>
      <c r="H53" s="15"/>
      <c r="I53" s="39"/>
      <c r="J53" s="16"/>
      <c r="K53" s="16"/>
      <c r="L53" s="16"/>
      <c r="M53" s="16"/>
      <c r="N53" s="16"/>
      <c r="O53" s="15"/>
      <c r="P53" s="15"/>
      <c r="Q53" s="16"/>
      <c r="R53" s="15"/>
      <c r="S53" s="15"/>
      <c r="T53" s="15"/>
      <c r="U53" s="19"/>
    </row>
    <row r="54" spans="1:21" x14ac:dyDescent="0.25">
      <c r="A54" s="12">
        <v>4041</v>
      </c>
      <c r="B54" s="13" t="s">
        <v>46</v>
      </c>
      <c r="C54" s="14">
        <f t="shared" si="3"/>
        <v>0</v>
      </c>
      <c r="D54" s="39">
        <v>0</v>
      </c>
      <c r="E54" s="25"/>
      <c r="F54" s="25"/>
      <c r="G54" s="25"/>
      <c r="H54" s="15"/>
      <c r="I54" s="39"/>
      <c r="J54" s="16"/>
      <c r="K54" s="16"/>
      <c r="L54" s="16"/>
      <c r="M54" s="16"/>
      <c r="N54" s="16"/>
      <c r="O54" s="15"/>
      <c r="P54" s="15"/>
      <c r="Q54" s="16"/>
      <c r="R54" s="15"/>
      <c r="S54" s="15"/>
      <c r="T54" s="15"/>
      <c r="U54" s="19"/>
    </row>
    <row r="55" spans="1:21" x14ac:dyDescent="0.25">
      <c r="A55" s="12">
        <v>4060</v>
      </c>
      <c r="B55" s="13" t="s">
        <v>47</v>
      </c>
      <c r="C55" s="14">
        <f t="shared" si="3"/>
        <v>2000</v>
      </c>
      <c r="D55" s="20">
        <v>100</v>
      </c>
      <c r="E55" s="17">
        <v>100</v>
      </c>
      <c r="F55" s="17">
        <v>0</v>
      </c>
      <c r="G55" s="25">
        <v>100</v>
      </c>
      <c r="H55" s="17">
        <v>300</v>
      </c>
      <c r="I55" s="20">
        <v>450</v>
      </c>
      <c r="J55" s="16"/>
      <c r="K55" s="16"/>
      <c r="L55" s="20"/>
      <c r="M55" s="16"/>
      <c r="N55" s="20"/>
      <c r="O55" s="17">
        <v>350</v>
      </c>
      <c r="P55" s="17"/>
      <c r="Q55" s="16"/>
      <c r="R55" s="15"/>
      <c r="S55" s="15"/>
      <c r="T55" s="17">
        <v>300</v>
      </c>
      <c r="U55" s="18">
        <v>300</v>
      </c>
    </row>
    <row r="56" spans="1:21" x14ac:dyDescent="0.25">
      <c r="A56" s="12">
        <v>4010</v>
      </c>
      <c r="B56" s="13" t="s">
        <v>48</v>
      </c>
      <c r="C56" s="14">
        <f t="shared" si="3"/>
        <v>1600</v>
      </c>
      <c r="D56" s="39">
        <v>350</v>
      </c>
      <c r="E56" s="25">
        <v>900</v>
      </c>
      <c r="F56" s="25">
        <v>350</v>
      </c>
      <c r="G56" s="25">
        <v>0</v>
      </c>
      <c r="H56" s="17">
        <v>0</v>
      </c>
      <c r="I56" s="39"/>
      <c r="J56" s="16"/>
      <c r="K56" s="16"/>
      <c r="L56" s="16"/>
      <c r="M56" s="16"/>
      <c r="N56" s="20">
        <v>0</v>
      </c>
      <c r="O56" s="17">
        <v>0</v>
      </c>
      <c r="P56" s="15"/>
      <c r="Q56" s="16"/>
      <c r="R56" s="15"/>
      <c r="S56" s="15"/>
      <c r="T56" s="15"/>
      <c r="U56" s="19"/>
    </row>
    <row r="57" spans="1:21" x14ac:dyDescent="0.25">
      <c r="A57" s="12">
        <v>4011</v>
      </c>
      <c r="B57" s="13" t="s">
        <v>49</v>
      </c>
      <c r="C57" s="14">
        <f t="shared" si="3"/>
        <v>2000</v>
      </c>
      <c r="D57" s="39">
        <v>1300</v>
      </c>
      <c r="E57" s="25">
        <v>400</v>
      </c>
      <c r="F57" s="25">
        <v>300</v>
      </c>
      <c r="G57" s="25"/>
      <c r="H57" s="15"/>
      <c r="I57" s="39"/>
      <c r="J57" s="16"/>
      <c r="K57" s="16"/>
      <c r="L57" s="16"/>
      <c r="M57" s="16"/>
      <c r="N57" s="20">
        <v>0</v>
      </c>
      <c r="O57" s="15"/>
      <c r="P57" s="15"/>
      <c r="Q57" s="16"/>
      <c r="R57" s="15"/>
      <c r="S57" s="15"/>
      <c r="T57" s="15"/>
      <c r="U57" s="19"/>
    </row>
    <row r="58" spans="1:21" x14ac:dyDescent="0.25">
      <c r="A58" s="12">
        <v>4011</v>
      </c>
      <c r="B58" s="13" t="s">
        <v>50</v>
      </c>
      <c r="C58" s="14">
        <f t="shared" si="3"/>
        <v>1600</v>
      </c>
      <c r="D58" s="39">
        <v>27</v>
      </c>
      <c r="E58" s="25">
        <v>573</v>
      </c>
      <c r="F58" s="25"/>
      <c r="G58" s="25"/>
      <c r="H58" s="15"/>
      <c r="I58" s="39"/>
      <c r="J58" s="16"/>
      <c r="K58" s="16"/>
      <c r="L58" s="16"/>
      <c r="M58" s="16"/>
      <c r="N58" s="16"/>
      <c r="O58" s="17">
        <v>1000</v>
      </c>
      <c r="P58" s="17">
        <v>0</v>
      </c>
      <c r="Q58" s="16"/>
      <c r="R58" s="15"/>
      <c r="S58" s="15"/>
      <c r="T58" s="15"/>
      <c r="U58" s="19"/>
    </row>
    <row r="59" spans="1:21" x14ac:dyDescent="0.25">
      <c r="A59" s="21">
        <v>40</v>
      </c>
      <c r="B59" s="22" t="s">
        <v>51</v>
      </c>
      <c r="C59" s="20">
        <f t="shared" ref="C59:U59" si="4">SUM(C18:C58)</f>
        <v>18200</v>
      </c>
      <c r="D59" s="20">
        <f t="shared" si="4"/>
        <v>8777</v>
      </c>
      <c r="E59" s="20">
        <f t="shared" si="4"/>
        <v>5973</v>
      </c>
      <c r="F59" s="20">
        <f t="shared" si="4"/>
        <v>650</v>
      </c>
      <c r="G59" s="20">
        <f t="shared" si="4"/>
        <v>100</v>
      </c>
      <c r="H59" s="20">
        <f t="shared" si="4"/>
        <v>300</v>
      </c>
      <c r="I59" s="20">
        <f t="shared" si="4"/>
        <v>450</v>
      </c>
      <c r="J59" s="20">
        <f t="shared" si="4"/>
        <v>0</v>
      </c>
      <c r="K59" s="20">
        <f t="shared" si="4"/>
        <v>0</v>
      </c>
      <c r="L59" s="20">
        <f t="shared" si="4"/>
        <v>0</v>
      </c>
      <c r="M59" s="20">
        <f t="shared" si="4"/>
        <v>0</v>
      </c>
      <c r="N59" s="20">
        <f t="shared" si="4"/>
        <v>0</v>
      </c>
      <c r="O59" s="20">
        <f t="shared" si="4"/>
        <v>1350</v>
      </c>
      <c r="P59" s="20">
        <f t="shared" si="4"/>
        <v>0</v>
      </c>
      <c r="Q59" s="20">
        <f t="shared" si="4"/>
        <v>0</v>
      </c>
      <c r="R59" s="20">
        <f t="shared" si="4"/>
        <v>0</v>
      </c>
      <c r="S59" s="20">
        <f t="shared" si="4"/>
        <v>0</v>
      </c>
      <c r="T59" s="20">
        <f t="shared" si="4"/>
        <v>300</v>
      </c>
      <c r="U59" s="44">
        <f t="shared" si="4"/>
        <v>300</v>
      </c>
    </row>
    <row r="60" spans="1:21" x14ac:dyDescent="0.25">
      <c r="A60" s="12">
        <v>4110</v>
      </c>
      <c r="B60" s="13" t="s">
        <v>52</v>
      </c>
      <c r="C60" s="14">
        <f>D60+E60+F60+G60+H60+I60+J60+K60+L60+M60+N60+O60+P60+Q60+R60+S60+T60+U60</f>
        <v>1800</v>
      </c>
      <c r="D60" s="39">
        <v>300</v>
      </c>
      <c r="E60" s="25">
        <v>200</v>
      </c>
      <c r="F60" s="25"/>
      <c r="G60" s="25"/>
      <c r="H60" s="15"/>
      <c r="I60" s="39">
        <v>1300</v>
      </c>
      <c r="J60" s="16"/>
      <c r="K60" s="16"/>
      <c r="L60" s="16"/>
      <c r="M60" s="15"/>
      <c r="N60" s="16"/>
      <c r="O60" s="15"/>
      <c r="P60" s="15"/>
      <c r="Q60" s="15"/>
      <c r="R60" s="15"/>
      <c r="S60" s="15"/>
      <c r="T60" s="15"/>
      <c r="U60" s="19"/>
    </row>
    <row r="61" spans="1:21" x14ac:dyDescent="0.25">
      <c r="A61" s="12">
        <v>4111</v>
      </c>
      <c r="B61" s="13" t="s">
        <v>53</v>
      </c>
      <c r="C61" s="14">
        <f>D61+E61+F61+G61+H61+I61+J61+K61+L61+M61+N61+O61+P61+Q61+R61+S61+T61+U61</f>
        <v>600</v>
      </c>
      <c r="D61" s="39">
        <v>300</v>
      </c>
      <c r="E61" s="25">
        <v>300</v>
      </c>
      <c r="F61" s="25"/>
      <c r="G61" s="25"/>
      <c r="H61" s="15"/>
      <c r="I61" s="39"/>
      <c r="J61" s="16"/>
      <c r="K61" s="16"/>
      <c r="L61" s="16"/>
      <c r="M61" s="16"/>
      <c r="N61" s="16"/>
      <c r="O61" s="15"/>
      <c r="P61" s="15"/>
      <c r="Q61" s="16"/>
      <c r="R61" s="15"/>
      <c r="S61" s="15"/>
      <c r="T61" s="15"/>
      <c r="U61" s="19"/>
    </row>
    <row r="62" spans="1:21" x14ac:dyDescent="0.25">
      <c r="A62" s="12">
        <v>411</v>
      </c>
      <c r="B62" s="22" t="s">
        <v>54</v>
      </c>
      <c r="C62" s="14">
        <f>C60+C61</f>
        <v>2400</v>
      </c>
      <c r="D62" s="39">
        <f>D61+D60</f>
        <v>600</v>
      </c>
      <c r="E62" s="39">
        <f>E61+E60</f>
        <v>500</v>
      </c>
      <c r="F62" s="39">
        <f>F61+F60</f>
        <v>0</v>
      </c>
      <c r="G62" s="39">
        <f>G61+G60</f>
        <v>0</v>
      </c>
      <c r="H62" s="39">
        <f t="shared" ref="H62:U62" si="5">H61+H60</f>
        <v>0</v>
      </c>
      <c r="I62" s="39">
        <f t="shared" si="5"/>
        <v>1300</v>
      </c>
      <c r="J62" s="39">
        <f t="shared" si="5"/>
        <v>0</v>
      </c>
      <c r="K62" s="39">
        <f t="shared" si="5"/>
        <v>0</v>
      </c>
      <c r="L62" s="39">
        <f t="shared" si="5"/>
        <v>0</v>
      </c>
      <c r="M62" s="39">
        <f t="shared" si="5"/>
        <v>0</v>
      </c>
      <c r="N62" s="39">
        <f t="shared" si="5"/>
        <v>0</v>
      </c>
      <c r="O62" s="39">
        <f t="shared" si="5"/>
        <v>0</v>
      </c>
      <c r="P62" s="39">
        <f t="shared" si="5"/>
        <v>0</v>
      </c>
      <c r="Q62" s="39">
        <f t="shared" si="5"/>
        <v>0</v>
      </c>
      <c r="R62" s="39">
        <f t="shared" si="5"/>
        <v>0</v>
      </c>
      <c r="S62" s="39">
        <f t="shared" si="5"/>
        <v>0</v>
      </c>
      <c r="T62" s="39">
        <f t="shared" si="5"/>
        <v>0</v>
      </c>
      <c r="U62" s="45">
        <f t="shared" si="5"/>
        <v>0</v>
      </c>
    </row>
    <row r="63" spans="1:21" x14ac:dyDescent="0.25">
      <c r="A63" s="12">
        <v>4120</v>
      </c>
      <c r="B63" s="13" t="s">
        <v>55</v>
      </c>
      <c r="C63" s="14">
        <f>D63+E63+F63+G63+H63+I63+J63+K63+L63+M63+N63+O63+P63+Q63+R63+S63+T63+U63</f>
        <v>500</v>
      </c>
      <c r="D63" s="39">
        <v>500</v>
      </c>
      <c r="E63" s="25"/>
      <c r="F63" s="25"/>
      <c r="G63" s="25"/>
      <c r="H63" s="15"/>
      <c r="I63" s="39"/>
      <c r="J63" s="16"/>
      <c r="K63" s="16"/>
      <c r="L63" s="16"/>
      <c r="M63" s="16"/>
      <c r="N63" s="16"/>
      <c r="O63" s="15"/>
      <c r="P63" s="15"/>
      <c r="Q63" s="16"/>
      <c r="R63" s="15"/>
      <c r="S63" s="15"/>
      <c r="T63" s="15"/>
      <c r="U63" s="19"/>
    </row>
    <row r="64" spans="1:21" x14ac:dyDescent="0.25">
      <c r="A64" s="21">
        <v>412</v>
      </c>
      <c r="B64" s="22" t="s">
        <v>56</v>
      </c>
      <c r="C64" s="22">
        <f>C63</f>
        <v>500</v>
      </c>
      <c r="D64" s="22">
        <f>D63</f>
        <v>500</v>
      </c>
      <c r="E64" s="39"/>
      <c r="F64" s="39"/>
      <c r="G64" s="39"/>
      <c r="H64" s="40"/>
      <c r="I64" s="39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1"/>
    </row>
    <row r="65" spans="1:21" x14ac:dyDescent="0.25">
      <c r="A65" s="12">
        <v>4130</v>
      </c>
      <c r="B65" s="13" t="s">
        <v>57</v>
      </c>
      <c r="C65" s="14">
        <f>D65+E65+F65+G65+H65+I65+J65+K65+L65+M65+N65+O65+P65+Q65+R65+S65+T65+U65</f>
        <v>3422</v>
      </c>
      <c r="D65" s="39">
        <v>2722</v>
      </c>
      <c r="E65" s="25">
        <v>700</v>
      </c>
      <c r="F65" s="25"/>
      <c r="G65" s="25"/>
      <c r="H65" s="15"/>
      <c r="I65" s="39"/>
      <c r="J65" s="16"/>
      <c r="K65" s="16"/>
      <c r="L65" s="16"/>
      <c r="M65" s="16"/>
      <c r="N65" s="20">
        <v>0</v>
      </c>
      <c r="O65" s="17"/>
      <c r="P65" s="15"/>
      <c r="Q65" s="16"/>
      <c r="R65" s="15"/>
      <c r="S65" s="15"/>
      <c r="T65" s="15"/>
      <c r="U65" s="19"/>
    </row>
    <row r="66" spans="1:21" x14ac:dyDescent="0.25">
      <c r="A66" s="12">
        <v>4131</v>
      </c>
      <c r="B66" s="13" t="s">
        <v>58</v>
      </c>
      <c r="C66" s="14">
        <f>D66+E66+F66+G66+H66+I66+J66+K66+L66+M66+N66+O66+P66+Q66+R66+S66+T66+U66</f>
        <v>726</v>
      </c>
      <c r="D66" s="39">
        <v>300</v>
      </c>
      <c r="E66" s="25">
        <v>226</v>
      </c>
      <c r="F66" s="25"/>
      <c r="G66" s="25"/>
      <c r="H66" s="15"/>
      <c r="I66" s="39"/>
      <c r="J66" s="16"/>
      <c r="K66" s="16"/>
      <c r="L66" s="16"/>
      <c r="M66" s="16"/>
      <c r="N66" s="20">
        <v>200</v>
      </c>
      <c r="O66" s="15"/>
      <c r="P66" s="15"/>
      <c r="Q66" s="16"/>
      <c r="R66" s="15"/>
      <c r="S66" s="15"/>
      <c r="T66" s="15"/>
      <c r="U66" s="19"/>
    </row>
    <row r="67" spans="1:21" x14ac:dyDescent="0.25">
      <c r="A67" s="21">
        <v>413</v>
      </c>
      <c r="B67" s="22" t="s">
        <v>59</v>
      </c>
      <c r="C67" s="14">
        <f>C65+C66</f>
        <v>4148</v>
      </c>
      <c r="D67" s="20">
        <f>D65+D66</f>
        <v>3022</v>
      </c>
      <c r="E67" s="20">
        <f>E65+E66</f>
        <v>926</v>
      </c>
      <c r="F67" s="20">
        <f t="shared" ref="F67:M67" si="6">F65+F66</f>
        <v>0</v>
      </c>
      <c r="G67" s="20">
        <f t="shared" si="6"/>
        <v>0</v>
      </c>
      <c r="H67" s="20">
        <f t="shared" si="6"/>
        <v>0</v>
      </c>
      <c r="I67" s="20">
        <f t="shared" si="6"/>
        <v>0</v>
      </c>
      <c r="J67" s="20">
        <f t="shared" si="6"/>
        <v>0</v>
      </c>
      <c r="K67" s="20">
        <f t="shared" si="6"/>
        <v>0</v>
      </c>
      <c r="L67" s="20">
        <f t="shared" si="6"/>
        <v>0</v>
      </c>
      <c r="M67" s="20">
        <f t="shared" si="6"/>
        <v>0</v>
      </c>
      <c r="N67" s="20">
        <f>N65+N66</f>
        <v>200</v>
      </c>
      <c r="O67" s="20">
        <f t="shared" ref="O67:U67" si="7">O65+O66</f>
        <v>0</v>
      </c>
      <c r="P67" s="20">
        <f t="shared" si="7"/>
        <v>0</v>
      </c>
      <c r="Q67" s="20">
        <f t="shared" si="7"/>
        <v>0</v>
      </c>
      <c r="R67" s="20">
        <f t="shared" si="7"/>
        <v>0</v>
      </c>
      <c r="S67" s="20">
        <f t="shared" si="7"/>
        <v>0</v>
      </c>
      <c r="T67" s="20">
        <f t="shared" si="7"/>
        <v>0</v>
      </c>
      <c r="U67" s="44">
        <f t="shared" si="7"/>
        <v>0</v>
      </c>
    </row>
    <row r="68" spans="1:21" x14ac:dyDescent="0.25">
      <c r="A68" s="12">
        <v>4150</v>
      </c>
      <c r="B68" s="13" t="s">
        <v>60</v>
      </c>
      <c r="C68" s="14">
        <f>D68+E68+F68+G68+H68+I68+J68+K68+L68+M68+N68+O68+P68+Q68+R68+S68+T68+U68</f>
        <v>1300</v>
      </c>
      <c r="D68" s="39">
        <v>1300</v>
      </c>
      <c r="E68" s="46"/>
      <c r="F68" s="46"/>
      <c r="G68" s="46"/>
      <c r="H68" s="47"/>
      <c r="I68" s="46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8"/>
    </row>
    <row r="69" spans="1:21" x14ac:dyDescent="0.25">
      <c r="A69" s="21">
        <v>415</v>
      </c>
      <c r="B69" s="22" t="s">
        <v>61</v>
      </c>
      <c r="C69" s="28">
        <f>C68</f>
        <v>1300</v>
      </c>
      <c r="D69" s="20">
        <f>D68</f>
        <v>1300</v>
      </c>
      <c r="E69" s="20">
        <f t="shared" ref="E69:U69" si="8">E68</f>
        <v>0</v>
      </c>
      <c r="F69" s="20">
        <f t="shared" si="8"/>
        <v>0</v>
      </c>
      <c r="G69" s="20">
        <f t="shared" si="8"/>
        <v>0</v>
      </c>
      <c r="H69" s="20">
        <f t="shared" si="8"/>
        <v>0</v>
      </c>
      <c r="I69" s="20">
        <f t="shared" si="8"/>
        <v>0</v>
      </c>
      <c r="J69" s="20">
        <f t="shared" si="8"/>
        <v>0</v>
      </c>
      <c r="K69" s="20">
        <f t="shared" si="8"/>
        <v>0</v>
      </c>
      <c r="L69" s="20">
        <f t="shared" si="8"/>
        <v>0</v>
      </c>
      <c r="M69" s="20">
        <f t="shared" si="8"/>
        <v>0</v>
      </c>
      <c r="N69" s="20">
        <f t="shared" si="8"/>
        <v>0</v>
      </c>
      <c r="O69" s="20">
        <f t="shared" si="8"/>
        <v>0</v>
      </c>
      <c r="P69" s="20">
        <f t="shared" si="8"/>
        <v>0</v>
      </c>
      <c r="Q69" s="20">
        <f t="shared" si="8"/>
        <v>0</v>
      </c>
      <c r="R69" s="20">
        <f t="shared" si="8"/>
        <v>0</v>
      </c>
      <c r="S69" s="20">
        <f t="shared" si="8"/>
        <v>0</v>
      </c>
      <c r="T69" s="20">
        <f t="shared" si="8"/>
        <v>0</v>
      </c>
      <c r="U69" s="44">
        <f t="shared" si="8"/>
        <v>0</v>
      </c>
    </row>
    <row r="70" spans="1:21" x14ac:dyDescent="0.25">
      <c r="A70" s="12">
        <v>4160</v>
      </c>
      <c r="B70" s="13" t="s">
        <v>62</v>
      </c>
      <c r="C70" s="14">
        <f t="shared" ref="C70:C73" si="9">D70+E70+F70+G70+H70+I70+J70+K70+L70+M70+N70+O70+P70+Q70+R70+S70+T70+U70</f>
        <v>5100</v>
      </c>
      <c r="D70" s="39">
        <v>3900</v>
      </c>
      <c r="E70" s="25">
        <v>1200</v>
      </c>
      <c r="F70" s="25"/>
      <c r="G70" s="25"/>
      <c r="H70" s="15"/>
      <c r="I70" s="2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9"/>
    </row>
    <row r="71" spans="1:21" x14ac:dyDescent="0.25">
      <c r="A71" s="12">
        <v>41601</v>
      </c>
      <c r="B71" s="13" t="s">
        <v>63</v>
      </c>
      <c r="C71" s="14">
        <f t="shared" si="9"/>
        <v>6100</v>
      </c>
      <c r="D71" s="39">
        <v>1300</v>
      </c>
      <c r="E71" s="25">
        <v>1200</v>
      </c>
      <c r="F71" s="25">
        <v>0</v>
      </c>
      <c r="G71" s="25">
        <v>100</v>
      </c>
      <c r="H71" s="15"/>
      <c r="I71" s="25">
        <v>3500</v>
      </c>
      <c r="J71" s="15"/>
      <c r="K71" s="15"/>
      <c r="L71" s="15"/>
      <c r="M71" s="15"/>
      <c r="N71" s="15"/>
      <c r="O71" s="17">
        <v>0</v>
      </c>
      <c r="P71" s="15"/>
      <c r="Q71" s="15"/>
      <c r="R71" s="15"/>
      <c r="S71" s="15"/>
      <c r="T71" s="15"/>
      <c r="U71" s="19"/>
    </row>
    <row r="72" spans="1:21" x14ac:dyDescent="0.25">
      <c r="A72" s="49">
        <v>41602</v>
      </c>
      <c r="B72" s="50" t="s">
        <v>64</v>
      </c>
      <c r="C72" s="14">
        <f t="shared" si="9"/>
        <v>12000</v>
      </c>
      <c r="D72" s="39">
        <v>4000</v>
      </c>
      <c r="E72" s="46">
        <v>6000</v>
      </c>
      <c r="F72" s="46"/>
      <c r="G72" s="46"/>
      <c r="H72" s="47"/>
      <c r="I72" s="51"/>
      <c r="J72" s="52"/>
      <c r="K72" s="52"/>
      <c r="L72" s="52"/>
      <c r="M72" s="52"/>
      <c r="N72" s="53">
        <v>700</v>
      </c>
      <c r="O72" s="54">
        <v>800</v>
      </c>
      <c r="P72" s="47"/>
      <c r="Q72" s="52"/>
      <c r="R72" s="47"/>
      <c r="S72" s="54">
        <v>500</v>
      </c>
      <c r="T72" s="47"/>
      <c r="U72" s="48"/>
    </row>
    <row r="73" spans="1:21" x14ac:dyDescent="0.25">
      <c r="A73" s="49">
        <v>41603</v>
      </c>
      <c r="B73" s="50" t="s">
        <v>65</v>
      </c>
      <c r="C73" s="14">
        <f t="shared" si="9"/>
        <v>3000</v>
      </c>
      <c r="D73" s="39">
        <v>1500</v>
      </c>
      <c r="E73" s="46">
        <v>1500</v>
      </c>
      <c r="F73" s="46">
        <v>0</v>
      </c>
      <c r="G73" s="46"/>
      <c r="H73" s="47"/>
      <c r="I73" s="51"/>
      <c r="J73" s="52"/>
      <c r="K73" s="52"/>
      <c r="L73" s="52"/>
      <c r="M73" s="52"/>
      <c r="N73" s="53">
        <v>0</v>
      </c>
      <c r="O73" s="47"/>
      <c r="P73" s="47"/>
      <c r="Q73" s="52"/>
      <c r="R73" s="47"/>
      <c r="S73" s="47"/>
      <c r="T73" s="47"/>
      <c r="U73" s="48"/>
    </row>
    <row r="74" spans="1:21" x14ac:dyDescent="0.25">
      <c r="A74" s="12">
        <v>41604</v>
      </c>
      <c r="B74" s="13" t="s">
        <v>66</v>
      </c>
      <c r="C74" s="14">
        <f>D74+E74+F74+G74+H74+I74+J74+K74+L74+M74+N74+O74+P74+Q74+R74+S74+T74+U74</f>
        <v>5700</v>
      </c>
      <c r="D74" s="39">
        <v>4200</v>
      </c>
      <c r="E74" s="25">
        <v>1500</v>
      </c>
      <c r="F74" s="25"/>
      <c r="G74" s="25"/>
      <c r="H74" s="15"/>
      <c r="I74" s="39"/>
      <c r="J74" s="16"/>
      <c r="K74" s="16"/>
      <c r="L74" s="16"/>
      <c r="M74" s="16"/>
      <c r="N74" s="20">
        <v>0</v>
      </c>
      <c r="O74" s="15"/>
      <c r="P74" s="15"/>
      <c r="Q74" s="16"/>
      <c r="R74" s="15"/>
      <c r="S74" s="15"/>
      <c r="T74" s="15"/>
      <c r="U74" s="19"/>
    </row>
    <row r="75" spans="1:21" x14ac:dyDescent="0.25">
      <c r="A75" s="21">
        <v>416</v>
      </c>
      <c r="B75" s="22" t="s">
        <v>67</v>
      </c>
      <c r="C75" s="14">
        <f>SUM(C70:C74)</f>
        <v>31900</v>
      </c>
      <c r="D75" s="14">
        <f>SUM(D70:D74)</f>
        <v>14900</v>
      </c>
      <c r="E75" s="14">
        <f>SUM(E70:E74)</f>
        <v>11400</v>
      </c>
      <c r="F75" s="14">
        <f t="shared" ref="F75:U75" si="10">SUM(F70:F74)</f>
        <v>0</v>
      </c>
      <c r="G75" s="14">
        <f t="shared" si="10"/>
        <v>100</v>
      </c>
      <c r="H75" s="14">
        <f t="shared" si="10"/>
        <v>0</v>
      </c>
      <c r="I75" s="14">
        <f t="shared" si="10"/>
        <v>3500</v>
      </c>
      <c r="J75" s="14">
        <f t="shared" si="10"/>
        <v>0</v>
      </c>
      <c r="K75" s="14">
        <f t="shared" si="10"/>
        <v>0</v>
      </c>
      <c r="L75" s="14">
        <f t="shared" si="10"/>
        <v>0</v>
      </c>
      <c r="M75" s="14">
        <f t="shared" si="10"/>
        <v>0</v>
      </c>
      <c r="N75" s="14">
        <f t="shared" si="10"/>
        <v>700</v>
      </c>
      <c r="O75" s="14">
        <f t="shared" si="10"/>
        <v>800</v>
      </c>
      <c r="P75" s="14">
        <f t="shared" si="10"/>
        <v>0</v>
      </c>
      <c r="Q75" s="14">
        <f t="shared" si="10"/>
        <v>0</v>
      </c>
      <c r="R75" s="14">
        <f t="shared" si="10"/>
        <v>0</v>
      </c>
      <c r="S75" s="14">
        <f t="shared" si="10"/>
        <v>500</v>
      </c>
      <c r="T75" s="14">
        <f t="shared" si="10"/>
        <v>0</v>
      </c>
      <c r="U75" s="23">
        <f t="shared" si="10"/>
        <v>0</v>
      </c>
    </row>
    <row r="76" spans="1:21" x14ac:dyDescent="0.25">
      <c r="A76" s="12">
        <v>4170</v>
      </c>
      <c r="B76" s="13" t="s">
        <v>68</v>
      </c>
      <c r="C76" s="14">
        <f>D76+E76+F76+G76+H76+I76+J76+K76+L76+M76+N76+O76+P76+Q76+R76+S76+T76+U76</f>
        <v>0</v>
      </c>
      <c r="D76" s="39">
        <v>0</v>
      </c>
      <c r="E76" s="25">
        <v>0</v>
      </c>
      <c r="F76" s="25">
        <v>0</v>
      </c>
      <c r="G76" s="25">
        <v>0</v>
      </c>
      <c r="H76" s="15"/>
      <c r="I76" s="39"/>
      <c r="J76" s="16"/>
      <c r="K76" s="16"/>
      <c r="L76" s="16"/>
      <c r="M76" s="16"/>
      <c r="N76" s="16"/>
      <c r="O76" s="16"/>
      <c r="P76" s="15"/>
      <c r="Q76" s="16"/>
      <c r="R76" s="15"/>
      <c r="S76" s="15"/>
      <c r="T76" s="15"/>
      <c r="U76" s="19"/>
    </row>
    <row r="77" spans="1:21" x14ac:dyDescent="0.25">
      <c r="A77" s="12">
        <v>4171</v>
      </c>
      <c r="B77" s="13" t="s">
        <v>69</v>
      </c>
      <c r="C77" s="22"/>
      <c r="D77" s="39"/>
      <c r="E77" s="25"/>
      <c r="F77" s="25"/>
      <c r="G77" s="25"/>
      <c r="H77" s="15"/>
      <c r="I77" s="39"/>
      <c r="J77" s="16"/>
      <c r="K77" s="16"/>
      <c r="L77" s="16"/>
      <c r="M77" s="16"/>
      <c r="N77" s="16"/>
      <c r="O77" s="16"/>
      <c r="P77" s="15"/>
      <c r="Q77" s="16"/>
      <c r="R77" s="15"/>
      <c r="S77" s="15"/>
      <c r="T77" s="15"/>
      <c r="U77" s="19"/>
    </row>
    <row r="78" spans="1:21" x14ac:dyDescent="0.25">
      <c r="A78" s="21">
        <v>417</v>
      </c>
      <c r="B78" s="22" t="s">
        <v>70</v>
      </c>
      <c r="C78" s="14">
        <f>C76</f>
        <v>0</v>
      </c>
      <c r="D78" s="14">
        <f t="shared" ref="D78:U78" si="11">D76</f>
        <v>0</v>
      </c>
      <c r="E78" s="14">
        <f t="shared" si="11"/>
        <v>0</v>
      </c>
      <c r="F78" s="14">
        <f t="shared" si="11"/>
        <v>0</v>
      </c>
      <c r="G78" s="14">
        <f t="shared" si="11"/>
        <v>0</v>
      </c>
      <c r="H78" s="14">
        <f t="shared" si="11"/>
        <v>0</v>
      </c>
      <c r="I78" s="14">
        <f t="shared" si="11"/>
        <v>0</v>
      </c>
      <c r="J78" s="14">
        <f t="shared" si="11"/>
        <v>0</v>
      </c>
      <c r="K78" s="14">
        <f t="shared" si="11"/>
        <v>0</v>
      </c>
      <c r="L78" s="14">
        <f t="shared" si="11"/>
        <v>0</v>
      </c>
      <c r="M78" s="14">
        <f t="shared" si="11"/>
        <v>0</v>
      </c>
      <c r="N78" s="14">
        <f t="shared" si="11"/>
        <v>0</v>
      </c>
      <c r="O78" s="14">
        <f t="shared" si="11"/>
        <v>0</v>
      </c>
      <c r="P78" s="14">
        <f t="shared" si="11"/>
        <v>0</v>
      </c>
      <c r="Q78" s="14">
        <f t="shared" si="11"/>
        <v>0</v>
      </c>
      <c r="R78" s="14">
        <f t="shared" si="11"/>
        <v>0</v>
      </c>
      <c r="S78" s="14">
        <f t="shared" si="11"/>
        <v>0</v>
      </c>
      <c r="T78" s="14">
        <f t="shared" si="11"/>
        <v>0</v>
      </c>
      <c r="U78" s="23">
        <f t="shared" si="11"/>
        <v>0</v>
      </c>
    </row>
    <row r="79" spans="1:21" x14ac:dyDescent="0.25">
      <c r="A79" s="49">
        <v>4190</v>
      </c>
      <c r="B79" s="50" t="s">
        <v>71</v>
      </c>
      <c r="C79" s="14">
        <f t="shared" ref="C79:C113" si="12">D79+E79+F79+G79+H79+I79+J79+K79+L79+M79+N79+O79+P79+Q79+R79+S79+T79+U79</f>
        <v>13004</v>
      </c>
      <c r="D79" s="39"/>
      <c r="E79" s="46"/>
      <c r="F79" s="46"/>
      <c r="G79" s="46">
        <v>300</v>
      </c>
      <c r="H79" s="47"/>
      <c r="I79" s="51"/>
      <c r="J79" s="52">
        <v>0</v>
      </c>
      <c r="K79" s="52"/>
      <c r="L79" s="52"/>
      <c r="M79" s="52"/>
      <c r="N79" s="52"/>
      <c r="O79" s="47"/>
      <c r="P79" s="54">
        <v>9704</v>
      </c>
      <c r="Q79" s="52"/>
      <c r="R79" s="47"/>
      <c r="S79" s="47"/>
      <c r="T79" s="47"/>
      <c r="U79" s="55">
        <v>3000</v>
      </c>
    </row>
    <row r="80" spans="1:21" x14ac:dyDescent="0.25">
      <c r="A80" s="49">
        <v>41900</v>
      </c>
      <c r="B80" s="50" t="s">
        <v>72</v>
      </c>
      <c r="C80" s="14">
        <f t="shared" si="12"/>
        <v>0</v>
      </c>
      <c r="D80" s="39"/>
      <c r="E80" s="46"/>
      <c r="F80" s="46"/>
      <c r="G80" s="46"/>
      <c r="H80" s="47"/>
      <c r="I80" s="51"/>
      <c r="J80" s="52"/>
      <c r="K80" s="52"/>
      <c r="L80" s="52"/>
      <c r="M80" s="52"/>
      <c r="N80" s="52"/>
      <c r="O80" s="47"/>
      <c r="P80" s="47"/>
      <c r="Q80" s="52"/>
      <c r="R80" s="47"/>
      <c r="S80" s="47"/>
      <c r="T80" s="47"/>
      <c r="U80" s="48"/>
    </row>
    <row r="81" spans="1:21" x14ac:dyDescent="0.25">
      <c r="A81" s="49">
        <v>4191</v>
      </c>
      <c r="B81" s="50" t="s">
        <v>73</v>
      </c>
      <c r="C81" s="14">
        <f t="shared" si="12"/>
        <v>200</v>
      </c>
      <c r="D81" s="39">
        <v>200</v>
      </c>
      <c r="E81" s="46"/>
      <c r="F81" s="46"/>
      <c r="G81" s="46"/>
      <c r="H81" s="47"/>
      <c r="I81" s="51"/>
      <c r="J81" s="52"/>
      <c r="K81" s="52"/>
      <c r="L81" s="52"/>
      <c r="M81" s="52"/>
      <c r="N81" s="52"/>
      <c r="O81" s="47"/>
      <c r="P81" s="47"/>
      <c r="Q81" s="52"/>
      <c r="R81" s="47"/>
      <c r="S81" s="47"/>
      <c r="T81" s="47"/>
      <c r="U81" s="48"/>
    </row>
    <row r="82" spans="1:21" x14ac:dyDescent="0.25">
      <c r="A82" s="49">
        <v>4192</v>
      </c>
      <c r="B82" s="50" t="s">
        <v>74</v>
      </c>
      <c r="C82" s="14">
        <f t="shared" si="12"/>
        <v>100</v>
      </c>
      <c r="D82" s="39">
        <v>100</v>
      </c>
      <c r="E82" s="46">
        <v>0</v>
      </c>
      <c r="F82" s="46"/>
      <c r="G82" s="46"/>
      <c r="H82" s="47"/>
      <c r="I82" s="51"/>
      <c r="J82" s="52"/>
      <c r="K82" s="52"/>
      <c r="L82" s="52"/>
      <c r="M82" s="52"/>
      <c r="N82" s="52"/>
      <c r="O82" s="54">
        <v>0</v>
      </c>
      <c r="P82" s="47"/>
      <c r="Q82" s="52"/>
      <c r="R82" s="47"/>
      <c r="S82" s="47"/>
      <c r="T82" s="47"/>
      <c r="U82" s="48"/>
    </row>
    <row r="83" spans="1:21" x14ac:dyDescent="0.25">
      <c r="A83" s="49">
        <v>4193</v>
      </c>
      <c r="B83" s="50" t="s">
        <v>75</v>
      </c>
      <c r="C83" s="14">
        <f t="shared" si="12"/>
        <v>5000</v>
      </c>
      <c r="D83" s="39"/>
      <c r="E83" s="46">
        <v>5000</v>
      </c>
      <c r="F83" s="46"/>
      <c r="G83" s="46"/>
      <c r="H83" s="47"/>
      <c r="I83" s="51"/>
      <c r="J83" s="52"/>
      <c r="K83" s="52"/>
      <c r="L83" s="52"/>
      <c r="M83" s="52"/>
      <c r="N83" s="52"/>
      <c r="O83" s="47"/>
      <c r="P83" s="47"/>
      <c r="Q83" s="52"/>
      <c r="R83" s="47"/>
      <c r="S83" s="47"/>
      <c r="T83" s="47"/>
      <c r="U83" s="48"/>
    </row>
    <row r="84" spans="1:21" x14ac:dyDescent="0.25">
      <c r="A84" s="49">
        <v>4194</v>
      </c>
      <c r="B84" s="50" t="s">
        <v>76</v>
      </c>
      <c r="C84" s="14">
        <f t="shared" si="12"/>
        <v>800</v>
      </c>
      <c r="D84" s="39">
        <v>0</v>
      </c>
      <c r="E84" s="46">
        <v>400</v>
      </c>
      <c r="F84" s="46"/>
      <c r="G84" s="46"/>
      <c r="H84" s="47"/>
      <c r="I84" s="51"/>
      <c r="J84" s="52"/>
      <c r="K84" s="52"/>
      <c r="L84" s="52"/>
      <c r="M84" s="52"/>
      <c r="N84" s="53">
        <v>100</v>
      </c>
      <c r="O84" s="47">
        <v>300</v>
      </c>
      <c r="P84" s="47"/>
      <c r="Q84" s="52"/>
      <c r="R84" s="47"/>
      <c r="S84" s="47"/>
      <c r="T84" s="47"/>
      <c r="U84" s="48"/>
    </row>
    <row r="85" spans="1:21" x14ac:dyDescent="0.25">
      <c r="A85" s="49">
        <v>4195</v>
      </c>
      <c r="B85" s="50" t="s">
        <v>77</v>
      </c>
      <c r="C85" s="14">
        <f t="shared" si="12"/>
        <v>200</v>
      </c>
      <c r="D85" s="39">
        <v>0</v>
      </c>
      <c r="E85" s="46">
        <v>100</v>
      </c>
      <c r="F85" s="46"/>
      <c r="G85" s="46"/>
      <c r="H85" s="47"/>
      <c r="I85" s="51"/>
      <c r="J85" s="52"/>
      <c r="K85" s="52"/>
      <c r="L85" s="52"/>
      <c r="M85" s="52"/>
      <c r="N85" s="53">
        <v>100</v>
      </c>
      <c r="O85" s="47"/>
      <c r="P85" s="47"/>
      <c r="Q85" s="52"/>
      <c r="R85" s="47"/>
      <c r="S85" s="47"/>
      <c r="T85" s="47"/>
      <c r="U85" s="48"/>
    </row>
    <row r="86" spans="1:21" x14ac:dyDescent="0.25">
      <c r="A86" s="49">
        <v>4196</v>
      </c>
      <c r="B86" s="50" t="s">
        <v>78</v>
      </c>
      <c r="C86" s="14">
        <f t="shared" si="12"/>
        <v>50</v>
      </c>
      <c r="D86" s="39">
        <v>0</v>
      </c>
      <c r="E86" s="46"/>
      <c r="F86" s="46">
        <v>50</v>
      </c>
      <c r="G86" s="46"/>
      <c r="H86" s="47"/>
      <c r="I86" s="51"/>
      <c r="J86" s="52"/>
      <c r="K86" s="52"/>
      <c r="L86" s="52"/>
      <c r="M86" s="52"/>
      <c r="N86" s="52"/>
      <c r="O86" s="47"/>
      <c r="P86" s="47"/>
      <c r="Q86" s="52"/>
      <c r="R86" s="47"/>
      <c r="S86" s="47"/>
      <c r="T86" s="47"/>
      <c r="U86" s="48"/>
    </row>
    <row r="87" spans="1:21" x14ac:dyDescent="0.25">
      <c r="A87" s="49">
        <v>4197</v>
      </c>
      <c r="B87" s="50" t="s">
        <v>64</v>
      </c>
      <c r="C87" s="14">
        <f t="shared" si="12"/>
        <v>0</v>
      </c>
      <c r="D87" s="39"/>
      <c r="E87" s="46"/>
      <c r="F87" s="46"/>
      <c r="G87" s="46"/>
      <c r="H87" s="47"/>
      <c r="I87" s="51"/>
      <c r="J87" s="52"/>
      <c r="K87" s="52"/>
      <c r="L87" s="52"/>
      <c r="M87" s="52"/>
      <c r="N87" s="52"/>
      <c r="O87" s="47"/>
      <c r="P87" s="47"/>
      <c r="Q87" s="52"/>
      <c r="R87" s="47"/>
      <c r="S87" s="47"/>
      <c r="T87" s="47"/>
      <c r="U87" s="48"/>
    </row>
    <row r="88" spans="1:21" x14ac:dyDescent="0.25">
      <c r="A88" s="49">
        <v>41980</v>
      </c>
      <c r="B88" s="50" t="s">
        <v>65</v>
      </c>
      <c r="C88" s="14">
        <f t="shared" si="12"/>
        <v>0</v>
      </c>
      <c r="D88" s="39"/>
      <c r="E88" s="46"/>
      <c r="F88" s="46"/>
      <c r="G88" s="46"/>
      <c r="H88" s="47"/>
      <c r="I88" s="51"/>
      <c r="J88" s="52"/>
      <c r="K88" s="52"/>
      <c r="L88" s="52"/>
      <c r="M88" s="52"/>
      <c r="N88" s="52"/>
      <c r="O88" s="47"/>
      <c r="P88" s="47"/>
      <c r="Q88" s="52"/>
      <c r="R88" s="47"/>
      <c r="S88" s="47"/>
      <c r="T88" s="47"/>
      <c r="U88" s="48"/>
    </row>
    <row r="89" spans="1:21" x14ac:dyDescent="0.25">
      <c r="A89" s="49">
        <v>4198</v>
      </c>
      <c r="B89" s="50" t="s">
        <v>79</v>
      </c>
      <c r="C89" s="14">
        <f t="shared" si="12"/>
        <v>0</v>
      </c>
      <c r="D89" s="39"/>
      <c r="E89" s="46"/>
      <c r="F89" s="46"/>
      <c r="G89" s="46"/>
      <c r="H89" s="47"/>
      <c r="I89" s="51"/>
      <c r="J89" s="52"/>
      <c r="K89" s="52"/>
      <c r="L89" s="52"/>
      <c r="M89" s="52"/>
      <c r="N89" s="52"/>
      <c r="O89" s="47"/>
      <c r="P89" s="47"/>
      <c r="Q89" s="52"/>
      <c r="R89" s="47"/>
      <c r="S89" s="47"/>
      <c r="T89" s="47"/>
      <c r="U89" s="48"/>
    </row>
    <row r="90" spans="1:21" x14ac:dyDescent="0.25">
      <c r="A90" s="49">
        <v>4199</v>
      </c>
      <c r="B90" s="50" t="s">
        <v>80</v>
      </c>
      <c r="C90" s="14">
        <f t="shared" si="12"/>
        <v>0</v>
      </c>
      <c r="D90" s="39"/>
      <c r="E90" s="46"/>
      <c r="F90" s="46"/>
      <c r="G90" s="46"/>
      <c r="H90" s="47"/>
      <c r="I90" s="51"/>
      <c r="J90" s="52"/>
      <c r="K90" s="52"/>
      <c r="L90" s="52"/>
      <c r="M90" s="52"/>
      <c r="N90" s="52"/>
      <c r="O90" s="47"/>
      <c r="P90" s="47"/>
      <c r="Q90" s="52"/>
      <c r="R90" s="47"/>
      <c r="S90" s="47"/>
      <c r="T90" s="47"/>
      <c r="U90" s="48"/>
    </row>
    <row r="91" spans="1:21" x14ac:dyDescent="0.25">
      <c r="A91" s="49">
        <v>41991</v>
      </c>
      <c r="B91" s="50" t="s">
        <v>81</v>
      </c>
      <c r="C91" s="14">
        <f t="shared" si="12"/>
        <v>0</v>
      </c>
      <c r="D91" s="39"/>
      <c r="E91" s="46"/>
      <c r="F91" s="46"/>
      <c r="G91" s="46"/>
      <c r="H91" s="47"/>
      <c r="I91" s="51"/>
      <c r="J91" s="52"/>
      <c r="K91" s="52"/>
      <c r="L91" s="52"/>
      <c r="M91" s="52"/>
      <c r="N91" s="52"/>
      <c r="O91" s="47"/>
      <c r="P91" s="47"/>
      <c r="Q91" s="52"/>
      <c r="R91" s="47"/>
      <c r="S91" s="47"/>
      <c r="T91" s="47"/>
      <c r="U91" s="48"/>
    </row>
    <row r="92" spans="1:21" x14ac:dyDescent="0.25">
      <c r="A92" s="49">
        <v>419910</v>
      </c>
      <c r="B92" s="50" t="s">
        <v>82</v>
      </c>
      <c r="C92" s="14">
        <f t="shared" si="12"/>
        <v>200</v>
      </c>
      <c r="D92" s="39">
        <v>0</v>
      </c>
      <c r="E92" s="46">
        <v>200</v>
      </c>
      <c r="F92" s="46"/>
      <c r="G92" s="46"/>
      <c r="H92" s="47"/>
      <c r="I92" s="51"/>
      <c r="J92" s="52"/>
      <c r="K92" s="52"/>
      <c r="L92" s="52"/>
      <c r="M92" s="52"/>
      <c r="N92" s="52"/>
      <c r="O92" s="47"/>
      <c r="P92" s="47"/>
      <c r="Q92" s="52"/>
      <c r="R92" s="47"/>
      <c r="S92" s="47"/>
      <c r="T92" s="47"/>
      <c r="U92" s="48"/>
    </row>
    <row r="93" spans="1:21" x14ac:dyDescent="0.25">
      <c r="A93" s="49">
        <v>41992</v>
      </c>
      <c r="B93" s="50" t="s">
        <v>83</v>
      </c>
      <c r="C93" s="14">
        <f t="shared" si="12"/>
        <v>0</v>
      </c>
      <c r="D93" s="39">
        <v>0</v>
      </c>
      <c r="E93" s="46">
        <v>0</v>
      </c>
      <c r="F93" s="46"/>
      <c r="G93" s="46"/>
      <c r="H93" s="47"/>
      <c r="I93" s="51"/>
      <c r="J93" s="52"/>
      <c r="K93" s="52"/>
      <c r="L93" s="52"/>
      <c r="M93" s="52"/>
      <c r="N93" s="53">
        <v>0</v>
      </c>
      <c r="O93" s="47"/>
      <c r="P93" s="47"/>
      <c r="Q93" s="52"/>
      <c r="R93" s="47"/>
      <c r="S93" s="47"/>
      <c r="T93" s="47"/>
      <c r="U93" s="48"/>
    </row>
    <row r="94" spans="1:21" x14ac:dyDescent="0.25">
      <c r="A94" s="49">
        <v>41993</v>
      </c>
      <c r="B94" s="50" t="s">
        <v>84</v>
      </c>
      <c r="C94" s="14">
        <f t="shared" si="12"/>
        <v>1800</v>
      </c>
      <c r="D94" s="39">
        <v>0</v>
      </c>
      <c r="E94" s="46"/>
      <c r="F94" s="46"/>
      <c r="G94" s="46"/>
      <c r="H94" s="47"/>
      <c r="I94" s="51">
        <v>1800</v>
      </c>
      <c r="J94" s="52"/>
      <c r="K94" s="52"/>
      <c r="L94" s="52"/>
      <c r="M94" s="52"/>
      <c r="N94" s="52"/>
      <c r="O94" s="47"/>
      <c r="P94" s="47"/>
      <c r="Q94" s="52"/>
      <c r="R94" s="47"/>
      <c r="S94" s="47"/>
      <c r="T94" s="47"/>
      <c r="U94" s="48"/>
    </row>
    <row r="95" spans="1:21" x14ac:dyDescent="0.25">
      <c r="A95" s="49">
        <v>41994</v>
      </c>
      <c r="B95" s="50" t="s">
        <v>85</v>
      </c>
      <c r="C95" s="14">
        <f t="shared" si="12"/>
        <v>2400</v>
      </c>
      <c r="D95" s="39"/>
      <c r="E95" s="46">
        <v>450</v>
      </c>
      <c r="F95" s="46"/>
      <c r="G95" s="46"/>
      <c r="H95" s="47"/>
      <c r="I95" s="51"/>
      <c r="J95" s="52"/>
      <c r="K95" s="52"/>
      <c r="L95" s="52"/>
      <c r="M95" s="52"/>
      <c r="N95" s="52"/>
      <c r="O95" s="54">
        <v>200</v>
      </c>
      <c r="P95" s="47"/>
      <c r="Q95" s="52"/>
      <c r="R95" s="47"/>
      <c r="S95" s="47"/>
      <c r="T95" s="47">
        <v>250</v>
      </c>
      <c r="U95" s="48">
        <v>1500</v>
      </c>
    </row>
    <row r="96" spans="1:21" x14ac:dyDescent="0.25">
      <c r="A96" s="49">
        <v>41995</v>
      </c>
      <c r="B96" s="50" t="s">
        <v>86</v>
      </c>
      <c r="C96" s="14">
        <f t="shared" si="12"/>
        <v>2700</v>
      </c>
      <c r="D96" s="39">
        <v>0</v>
      </c>
      <c r="E96" s="46">
        <v>1000</v>
      </c>
      <c r="F96" s="46">
        <v>0</v>
      </c>
      <c r="G96" s="46">
        <v>0</v>
      </c>
      <c r="H96" s="54">
        <v>1000</v>
      </c>
      <c r="I96" s="51"/>
      <c r="J96" s="52"/>
      <c r="K96" s="53">
        <v>0</v>
      </c>
      <c r="L96" s="52"/>
      <c r="M96" s="53">
        <v>0</v>
      </c>
      <c r="N96" s="53">
        <v>700</v>
      </c>
      <c r="O96" s="47"/>
      <c r="P96" s="47"/>
      <c r="Q96" s="52"/>
      <c r="R96" s="47"/>
      <c r="S96" s="47"/>
      <c r="T96" s="47"/>
      <c r="U96" s="48"/>
    </row>
    <row r="97" spans="1:21" x14ac:dyDescent="0.25">
      <c r="A97" s="49">
        <v>41996</v>
      </c>
      <c r="B97" s="50" t="s">
        <v>87</v>
      </c>
      <c r="C97" s="14">
        <f t="shared" si="12"/>
        <v>0</v>
      </c>
      <c r="D97" s="39"/>
      <c r="E97" s="46"/>
      <c r="F97" s="46"/>
      <c r="G97" s="46"/>
      <c r="H97" s="47"/>
      <c r="I97" s="51"/>
      <c r="J97" s="52"/>
      <c r="K97" s="52"/>
      <c r="L97" s="52"/>
      <c r="M97" s="52"/>
      <c r="N97" s="52"/>
      <c r="O97" s="47"/>
      <c r="P97" s="47"/>
      <c r="Q97" s="52"/>
      <c r="R97" s="47"/>
      <c r="S97" s="47"/>
      <c r="T97" s="47"/>
      <c r="U97" s="48"/>
    </row>
    <row r="98" spans="1:21" x14ac:dyDescent="0.25">
      <c r="A98" s="12">
        <v>41996</v>
      </c>
      <c r="B98" s="13" t="s">
        <v>88</v>
      </c>
      <c r="C98" s="14">
        <f t="shared" si="12"/>
        <v>0</v>
      </c>
      <c r="D98" s="39">
        <v>0</v>
      </c>
      <c r="E98" s="25"/>
      <c r="F98" s="25"/>
      <c r="G98" s="25"/>
      <c r="H98" s="17">
        <v>0</v>
      </c>
      <c r="I98" s="39"/>
      <c r="J98" s="16"/>
      <c r="K98" s="16"/>
      <c r="L98" s="16"/>
      <c r="M98" s="16"/>
      <c r="N98" s="16"/>
      <c r="O98" s="15"/>
      <c r="P98" s="15"/>
      <c r="Q98" s="16"/>
      <c r="R98" s="15"/>
      <c r="S98" s="15"/>
      <c r="T98" s="15"/>
      <c r="U98" s="19"/>
    </row>
    <row r="99" spans="1:21" x14ac:dyDescent="0.25">
      <c r="A99" s="12">
        <v>41996</v>
      </c>
      <c r="B99" s="13" t="s">
        <v>89</v>
      </c>
      <c r="C99" s="14">
        <f t="shared" si="12"/>
        <v>5500</v>
      </c>
      <c r="D99" s="39"/>
      <c r="E99" s="25"/>
      <c r="F99" s="25"/>
      <c r="G99" s="25"/>
      <c r="H99" s="17">
        <v>0</v>
      </c>
      <c r="I99" s="25"/>
      <c r="J99" s="15"/>
      <c r="K99" s="15"/>
      <c r="L99" s="15"/>
      <c r="M99" s="15"/>
      <c r="N99" s="15"/>
      <c r="O99" s="17">
        <v>3300</v>
      </c>
      <c r="P99" s="15"/>
      <c r="Q99" s="15"/>
      <c r="R99" s="15"/>
      <c r="S99" s="15"/>
      <c r="T99" s="15"/>
      <c r="U99" s="19">
        <v>2200</v>
      </c>
    </row>
    <row r="100" spans="1:21" x14ac:dyDescent="0.25">
      <c r="A100" s="12">
        <v>41997</v>
      </c>
      <c r="B100" s="13" t="s">
        <v>90</v>
      </c>
      <c r="C100" s="14">
        <f>D100+E100+F100+G100+H100+I100+J100+K100+L100+M100+N100+O100+P100+Q100+R100+S100+T100+U100</f>
        <v>300</v>
      </c>
      <c r="D100" s="39"/>
      <c r="E100" s="25"/>
      <c r="F100" s="25"/>
      <c r="G100" s="25"/>
      <c r="H100" s="15"/>
      <c r="I100" s="25"/>
      <c r="J100" s="15"/>
      <c r="K100" s="15"/>
      <c r="L100" s="15"/>
      <c r="M100" s="15"/>
      <c r="N100" s="15"/>
      <c r="O100" s="17">
        <v>300</v>
      </c>
      <c r="P100" s="15"/>
      <c r="Q100" s="15"/>
      <c r="R100" s="15"/>
      <c r="S100" s="15"/>
      <c r="T100" s="15"/>
      <c r="U100" s="19"/>
    </row>
    <row r="101" spans="1:21" x14ac:dyDescent="0.25">
      <c r="A101" s="12">
        <v>41998</v>
      </c>
      <c r="B101" s="13" t="s">
        <v>91</v>
      </c>
      <c r="C101" s="14">
        <f t="shared" si="12"/>
        <v>4300</v>
      </c>
      <c r="D101" s="20">
        <v>0</v>
      </c>
      <c r="E101" s="25">
        <v>850</v>
      </c>
      <c r="F101" s="17">
        <v>300</v>
      </c>
      <c r="G101" s="25"/>
      <c r="H101" s="17">
        <v>1000</v>
      </c>
      <c r="I101" s="25"/>
      <c r="J101" s="17">
        <v>0</v>
      </c>
      <c r="K101" s="17">
        <v>0</v>
      </c>
      <c r="L101" s="15"/>
      <c r="M101" s="17"/>
      <c r="N101" s="17">
        <v>150</v>
      </c>
      <c r="O101" s="17">
        <v>1400</v>
      </c>
      <c r="P101" s="17">
        <v>600</v>
      </c>
      <c r="Q101" s="15"/>
      <c r="R101" s="17"/>
      <c r="S101" s="15"/>
      <c r="T101" s="15"/>
      <c r="U101" s="19"/>
    </row>
    <row r="102" spans="1:21" x14ac:dyDescent="0.25">
      <c r="A102" s="12">
        <v>41999</v>
      </c>
      <c r="B102" s="13" t="s">
        <v>92</v>
      </c>
      <c r="C102" s="14">
        <f t="shared" si="12"/>
        <v>3500</v>
      </c>
      <c r="D102" s="20"/>
      <c r="E102" s="17">
        <v>1250</v>
      </c>
      <c r="F102" s="25">
        <v>300</v>
      </c>
      <c r="G102" s="25"/>
      <c r="H102" s="17">
        <v>0</v>
      </c>
      <c r="I102" s="39"/>
      <c r="J102" s="20">
        <v>0</v>
      </c>
      <c r="K102" s="20">
        <v>0</v>
      </c>
      <c r="L102" s="16"/>
      <c r="M102" s="16"/>
      <c r="N102" s="20">
        <v>0</v>
      </c>
      <c r="O102" s="17">
        <v>200</v>
      </c>
      <c r="P102" s="17">
        <v>750</v>
      </c>
      <c r="Q102" s="20"/>
      <c r="R102" s="15"/>
      <c r="S102" s="17">
        <v>0</v>
      </c>
      <c r="T102" s="17">
        <v>500</v>
      </c>
      <c r="U102" s="18">
        <v>500</v>
      </c>
    </row>
    <row r="103" spans="1:21" x14ac:dyDescent="0.25">
      <c r="A103" s="12">
        <v>419991</v>
      </c>
      <c r="B103" s="13" t="s">
        <v>93</v>
      </c>
      <c r="C103" s="14">
        <f t="shared" si="12"/>
        <v>0</v>
      </c>
      <c r="D103" s="39"/>
      <c r="E103" s="25"/>
      <c r="F103" s="25"/>
      <c r="G103" s="25"/>
      <c r="H103" s="17">
        <v>0</v>
      </c>
      <c r="I103" s="39"/>
      <c r="J103" s="16"/>
      <c r="K103" s="16"/>
      <c r="L103" s="16"/>
      <c r="M103" s="16"/>
      <c r="N103" s="16"/>
      <c r="O103" s="15"/>
      <c r="P103" s="15"/>
      <c r="Q103" s="16"/>
      <c r="R103" s="15"/>
      <c r="S103" s="15"/>
      <c r="T103" s="15"/>
      <c r="U103" s="19"/>
    </row>
    <row r="104" spans="1:21" x14ac:dyDescent="0.25">
      <c r="A104" s="12">
        <v>4199910</v>
      </c>
      <c r="B104" s="56" t="s">
        <v>94</v>
      </c>
      <c r="C104" s="14">
        <f t="shared" si="12"/>
        <v>0</v>
      </c>
      <c r="D104" s="39"/>
      <c r="E104" s="25"/>
      <c r="F104" s="25"/>
      <c r="G104" s="25"/>
      <c r="H104" s="15">
        <v>0</v>
      </c>
      <c r="I104" s="39"/>
      <c r="J104" s="16"/>
      <c r="K104" s="16"/>
      <c r="L104" s="16"/>
      <c r="M104" s="16"/>
      <c r="N104" s="16"/>
      <c r="O104" s="15"/>
      <c r="P104" s="15"/>
      <c r="Q104" s="16"/>
      <c r="R104" s="15"/>
      <c r="S104" s="15"/>
      <c r="T104" s="15"/>
      <c r="U104" s="19"/>
    </row>
    <row r="105" spans="1:21" x14ac:dyDescent="0.25">
      <c r="A105" s="12">
        <v>419992</v>
      </c>
      <c r="B105" s="13" t="s">
        <v>83</v>
      </c>
      <c r="C105" s="14">
        <f t="shared" si="12"/>
        <v>0</v>
      </c>
      <c r="D105" s="39"/>
      <c r="E105" s="25"/>
      <c r="F105" s="25">
        <v>0</v>
      </c>
      <c r="G105" s="25"/>
      <c r="H105" s="17">
        <v>0</v>
      </c>
      <c r="I105" s="39"/>
      <c r="J105" s="16"/>
      <c r="K105" s="16"/>
      <c r="L105" s="16"/>
      <c r="M105" s="16"/>
      <c r="N105" s="16"/>
      <c r="O105" s="15"/>
      <c r="P105" s="15"/>
      <c r="Q105" s="16"/>
      <c r="R105" s="15"/>
      <c r="S105" s="15"/>
      <c r="T105" s="15"/>
      <c r="U105" s="19"/>
    </row>
    <row r="106" spans="1:21" x14ac:dyDescent="0.25">
      <c r="A106" s="12">
        <v>419993</v>
      </c>
      <c r="B106" s="13" t="s">
        <v>95</v>
      </c>
      <c r="C106" s="14">
        <f t="shared" si="12"/>
        <v>0</v>
      </c>
      <c r="D106" s="39"/>
      <c r="E106" s="25"/>
      <c r="F106" s="25"/>
      <c r="G106" s="25"/>
      <c r="H106" s="15"/>
      <c r="I106" s="39"/>
      <c r="J106" s="16"/>
      <c r="K106" s="16"/>
      <c r="L106" s="16"/>
      <c r="M106" s="16"/>
      <c r="N106" s="16"/>
      <c r="O106" s="15"/>
      <c r="P106" s="15"/>
      <c r="Q106" s="16"/>
      <c r="R106" s="15"/>
      <c r="S106" s="15"/>
      <c r="T106" s="15"/>
      <c r="U106" s="19"/>
    </row>
    <row r="107" spans="1:21" x14ac:dyDescent="0.25">
      <c r="A107" s="12">
        <v>419994</v>
      </c>
      <c r="B107" s="13" t="s">
        <v>96</v>
      </c>
      <c r="C107" s="14">
        <f t="shared" si="12"/>
        <v>1000</v>
      </c>
      <c r="D107" s="39">
        <v>0</v>
      </c>
      <c r="E107" s="25">
        <v>1000</v>
      </c>
      <c r="F107" s="25"/>
      <c r="G107" s="25"/>
      <c r="H107" s="17">
        <v>0</v>
      </c>
      <c r="I107" s="39"/>
      <c r="J107" s="16"/>
      <c r="K107" s="16"/>
      <c r="L107" s="16"/>
      <c r="M107" s="16"/>
      <c r="N107" s="16"/>
      <c r="O107" s="15"/>
      <c r="P107" s="15"/>
      <c r="Q107" s="16"/>
      <c r="R107" s="15"/>
      <c r="S107" s="15"/>
      <c r="T107" s="15"/>
      <c r="U107" s="19"/>
    </row>
    <row r="108" spans="1:21" x14ac:dyDescent="0.25">
      <c r="A108" s="12">
        <v>419995</v>
      </c>
      <c r="B108" s="13" t="s">
        <v>97</v>
      </c>
      <c r="C108" s="14">
        <f t="shared" si="12"/>
        <v>2000</v>
      </c>
      <c r="D108" s="39">
        <v>0</v>
      </c>
      <c r="E108" s="25"/>
      <c r="F108" s="25"/>
      <c r="G108" s="25"/>
      <c r="H108" s="17">
        <v>2000</v>
      </c>
      <c r="I108" s="39"/>
      <c r="J108" s="16"/>
      <c r="K108" s="16"/>
      <c r="L108" s="16"/>
      <c r="M108" s="16"/>
      <c r="N108" s="16"/>
      <c r="O108" s="15"/>
      <c r="P108" s="15"/>
      <c r="Q108" s="16"/>
      <c r="R108" s="15"/>
      <c r="S108" s="15"/>
      <c r="T108" s="15"/>
      <c r="U108" s="19"/>
    </row>
    <row r="109" spans="1:21" x14ac:dyDescent="0.25">
      <c r="A109" s="12">
        <v>419996</v>
      </c>
      <c r="B109" s="13" t="s">
        <v>98</v>
      </c>
      <c r="C109" s="14">
        <f t="shared" si="12"/>
        <v>0</v>
      </c>
      <c r="D109" s="39"/>
      <c r="E109" s="25"/>
      <c r="F109" s="25"/>
      <c r="G109" s="25"/>
      <c r="H109" s="15"/>
      <c r="I109" s="39"/>
      <c r="J109" s="16"/>
      <c r="K109" s="16"/>
      <c r="L109" s="16"/>
      <c r="M109" s="16"/>
      <c r="N109" s="16"/>
      <c r="O109" s="15"/>
      <c r="P109" s="15"/>
      <c r="Q109" s="16"/>
      <c r="R109" s="15"/>
      <c r="S109" s="15"/>
      <c r="T109" s="15"/>
      <c r="U109" s="19"/>
    </row>
    <row r="110" spans="1:21" x14ac:dyDescent="0.25">
      <c r="A110" s="12">
        <v>419997</v>
      </c>
      <c r="B110" s="13" t="s">
        <v>99</v>
      </c>
      <c r="C110" s="14">
        <f t="shared" si="12"/>
        <v>0</v>
      </c>
      <c r="D110" s="39"/>
      <c r="E110" s="25"/>
      <c r="F110" s="25"/>
      <c r="G110" s="25"/>
      <c r="H110" s="15"/>
      <c r="I110" s="39"/>
      <c r="J110" s="16"/>
      <c r="K110" s="16"/>
      <c r="L110" s="16"/>
      <c r="M110" s="16"/>
      <c r="N110" s="16"/>
      <c r="O110" s="15"/>
      <c r="P110" s="15"/>
      <c r="Q110" s="16"/>
      <c r="R110" s="15"/>
      <c r="S110" s="15"/>
      <c r="T110" s="15"/>
      <c r="U110" s="19"/>
    </row>
    <row r="111" spans="1:21" x14ac:dyDescent="0.25">
      <c r="A111" s="12">
        <v>4199977</v>
      </c>
      <c r="B111" s="13" t="s">
        <v>141</v>
      </c>
      <c r="C111" s="43"/>
      <c r="D111" s="39"/>
      <c r="E111" s="25"/>
      <c r="F111" s="25"/>
      <c r="G111" s="25"/>
      <c r="H111" s="15">
        <v>1500</v>
      </c>
      <c r="I111" s="39"/>
      <c r="J111" s="16"/>
      <c r="K111" s="16"/>
      <c r="L111" s="16"/>
      <c r="M111" s="16"/>
      <c r="N111" s="16"/>
      <c r="O111" s="15"/>
      <c r="P111" s="15"/>
      <c r="Q111" s="16"/>
      <c r="R111" s="15"/>
      <c r="S111" s="15"/>
      <c r="T111" s="15"/>
      <c r="U111" s="19"/>
    </row>
    <row r="112" spans="1:21" x14ac:dyDescent="0.25">
      <c r="A112" s="12">
        <v>419998</v>
      </c>
      <c r="B112" s="13" t="s">
        <v>92</v>
      </c>
      <c r="C112" s="14">
        <f t="shared" si="12"/>
        <v>0</v>
      </c>
      <c r="D112" s="39"/>
      <c r="E112" s="25"/>
      <c r="F112" s="25"/>
      <c r="G112" s="25"/>
      <c r="H112" s="17">
        <v>0</v>
      </c>
      <c r="I112" s="39"/>
      <c r="J112" s="16"/>
      <c r="K112" s="16"/>
      <c r="L112" s="16"/>
      <c r="M112" s="16"/>
      <c r="N112" s="16"/>
      <c r="O112" s="15"/>
      <c r="P112" s="15"/>
      <c r="Q112" s="16"/>
      <c r="R112" s="15"/>
      <c r="S112" s="15"/>
      <c r="T112" s="17">
        <v>0</v>
      </c>
      <c r="U112" s="19"/>
    </row>
    <row r="113" spans="1:21" x14ac:dyDescent="0.25">
      <c r="A113" s="12">
        <v>419999</v>
      </c>
      <c r="B113" s="13" t="s">
        <v>100</v>
      </c>
      <c r="C113" s="14">
        <f t="shared" si="12"/>
        <v>37500</v>
      </c>
      <c r="D113" s="20">
        <v>915.16</v>
      </c>
      <c r="E113" s="17">
        <f>1662.19-915.16</f>
        <v>747.03000000000009</v>
      </c>
      <c r="F113" s="17">
        <v>837.81</v>
      </c>
      <c r="G113" s="25"/>
      <c r="H113" s="17">
        <v>21000</v>
      </c>
      <c r="I113" s="20"/>
      <c r="J113" s="20">
        <v>500</v>
      </c>
      <c r="K113" s="20">
        <v>500</v>
      </c>
      <c r="L113" s="20">
        <v>2000</v>
      </c>
      <c r="M113" s="20">
        <v>2000</v>
      </c>
      <c r="N113" s="20">
        <v>0</v>
      </c>
      <c r="O113" s="17">
        <v>1550</v>
      </c>
      <c r="P113" s="17">
        <v>2300</v>
      </c>
      <c r="Q113" s="20">
        <v>500</v>
      </c>
      <c r="R113" s="17">
        <v>200</v>
      </c>
      <c r="S113" s="15"/>
      <c r="T113" s="17">
        <v>450</v>
      </c>
      <c r="U113" s="18">
        <v>4000</v>
      </c>
    </row>
    <row r="114" spans="1:21" x14ac:dyDescent="0.25">
      <c r="A114" s="57">
        <v>419</v>
      </c>
      <c r="B114" s="58" t="s">
        <v>101</v>
      </c>
      <c r="C114" s="20">
        <f t="shared" ref="C114:S114" si="13">SUM(C79:C113)</f>
        <v>80554</v>
      </c>
      <c r="D114" s="20">
        <f t="shared" si="13"/>
        <v>1215.1599999999999</v>
      </c>
      <c r="E114" s="20">
        <f t="shared" si="13"/>
        <v>10997.03</v>
      </c>
      <c r="F114" s="20">
        <f t="shared" si="13"/>
        <v>1487.81</v>
      </c>
      <c r="G114" s="20">
        <f t="shared" si="13"/>
        <v>300</v>
      </c>
      <c r="H114" s="20">
        <f t="shared" si="13"/>
        <v>26500</v>
      </c>
      <c r="I114" s="20">
        <f t="shared" si="13"/>
        <v>1800</v>
      </c>
      <c r="J114" s="20">
        <f t="shared" si="13"/>
        <v>500</v>
      </c>
      <c r="K114" s="20">
        <f t="shared" si="13"/>
        <v>500</v>
      </c>
      <c r="L114" s="20">
        <f t="shared" si="13"/>
        <v>2000</v>
      </c>
      <c r="M114" s="20">
        <f t="shared" si="13"/>
        <v>2000</v>
      </c>
      <c r="N114" s="20">
        <f t="shared" si="13"/>
        <v>1050</v>
      </c>
      <c r="O114" s="20">
        <f t="shared" si="13"/>
        <v>7250</v>
      </c>
      <c r="P114" s="20">
        <f t="shared" si="13"/>
        <v>13354</v>
      </c>
      <c r="Q114" s="20">
        <f t="shared" si="13"/>
        <v>500</v>
      </c>
      <c r="R114" s="20">
        <f t="shared" si="13"/>
        <v>200</v>
      </c>
      <c r="S114" s="20">
        <f t="shared" si="13"/>
        <v>0</v>
      </c>
      <c r="T114" s="20">
        <f>SUM(T79:T113)</f>
        <v>1200</v>
      </c>
      <c r="U114" s="44">
        <f>SUM(U79:U113)</f>
        <v>11200</v>
      </c>
    </row>
    <row r="115" spans="1:21" x14ac:dyDescent="0.25">
      <c r="A115" s="21">
        <v>41</v>
      </c>
      <c r="B115" s="22" t="s">
        <v>102</v>
      </c>
      <c r="C115" s="28">
        <f t="shared" ref="C115:U115" si="14">C62+C64+C67+C69+C75+C78+C114</f>
        <v>120802</v>
      </c>
      <c r="D115" s="28">
        <f t="shared" si="14"/>
        <v>21537.16</v>
      </c>
      <c r="E115" s="20">
        <f t="shared" si="14"/>
        <v>23823.03</v>
      </c>
      <c r="F115" s="20">
        <f t="shared" si="14"/>
        <v>1487.81</v>
      </c>
      <c r="G115" s="20">
        <f t="shared" si="14"/>
        <v>400</v>
      </c>
      <c r="H115" s="20">
        <f t="shared" si="14"/>
        <v>26500</v>
      </c>
      <c r="I115" s="20">
        <f t="shared" si="14"/>
        <v>6600</v>
      </c>
      <c r="J115" s="20">
        <f t="shared" si="14"/>
        <v>500</v>
      </c>
      <c r="K115" s="20">
        <f t="shared" si="14"/>
        <v>500</v>
      </c>
      <c r="L115" s="20">
        <f t="shared" si="14"/>
        <v>2000</v>
      </c>
      <c r="M115" s="20">
        <f t="shared" si="14"/>
        <v>2000</v>
      </c>
      <c r="N115" s="20">
        <f t="shared" si="14"/>
        <v>1950</v>
      </c>
      <c r="O115" s="20">
        <f t="shared" si="14"/>
        <v>8050</v>
      </c>
      <c r="P115" s="20">
        <f t="shared" si="14"/>
        <v>13354</v>
      </c>
      <c r="Q115" s="20">
        <f t="shared" si="14"/>
        <v>500</v>
      </c>
      <c r="R115" s="20">
        <f t="shared" si="14"/>
        <v>200</v>
      </c>
      <c r="S115" s="20">
        <f t="shared" si="14"/>
        <v>500</v>
      </c>
      <c r="T115" s="20">
        <f t="shared" si="14"/>
        <v>1200</v>
      </c>
      <c r="U115" s="44">
        <f t="shared" si="14"/>
        <v>11200</v>
      </c>
    </row>
    <row r="116" spans="1:21" x14ac:dyDescent="0.25">
      <c r="A116" s="21">
        <v>43</v>
      </c>
      <c r="B116" s="22" t="s">
        <v>103</v>
      </c>
      <c r="C116" s="28">
        <f>Tabela13[[#This Row],[PLAN ŠOLA ZDRAVJA 2019]]</f>
        <v>333</v>
      </c>
      <c r="D116" s="39">
        <v>333</v>
      </c>
      <c r="E116" s="25">
        <v>0</v>
      </c>
      <c r="F116" s="25">
        <v>0</v>
      </c>
      <c r="G116" s="25">
        <v>0</v>
      </c>
      <c r="H116" s="26">
        <v>0</v>
      </c>
      <c r="I116" s="39">
        <v>0</v>
      </c>
      <c r="J116" s="40">
        <v>0</v>
      </c>
      <c r="K116" s="40">
        <v>0</v>
      </c>
      <c r="L116" s="40">
        <v>0</v>
      </c>
      <c r="M116" s="40">
        <v>0</v>
      </c>
      <c r="N116" s="40">
        <v>0</v>
      </c>
      <c r="O116" s="26">
        <v>0</v>
      </c>
      <c r="P116" s="26">
        <v>0</v>
      </c>
      <c r="Q116" s="40">
        <v>0</v>
      </c>
      <c r="R116" s="26">
        <v>0</v>
      </c>
      <c r="S116" s="26">
        <v>0</v>
      </c>
      <c r="T116" s="26">
        <v>0</v>
      </c>
      <c r="U116" s="27">
        <v>0</v>
      </c>
    </row>
    <row r="117" spans="1:21" x14ac:dyDescent="0.25">
      <c r="A117" s="21">
        <v>4700</v>
      </c>
      <c r="B117" s="22" t="s">
        <v>104</v>
      </c>
      <c r="C117" s="14">
        <f t="shared" ref="C117:C123" si="15">D117+E117+F117+G117+H117+I117+J117+K117+L117+M117+N117+O117+P117+Q117+R117+S117+T117+U117</f>
        <v>22300</v>
      </c>
      <c r="D117" s="20">
        <v>9558</v>
      </c>
      <c r="E117" s="17">
        <v>10242</v>
      </c>
      <c r="F117" s="17">
        <v>700</v>
      </c>
      <c r="G117" s="25"/>
      <c r="H117" s="17"/>
      <c r="I117" s="25"/>
      <c r="J117" s="40"/>
      <c r="K117" s="40"/>
      <c r="L117" s="40"/>
      <c r="M117" s="40"/>
      <c r="N117" s="20">
        <v>200</v>
      </c>
      <c r="O117" s="17">
        <v>1600</v>
      </c>
      <c r="P117" s="26"/>
      <c r="Q117" s="40"/>
      <c r="R117" s="26"/>
      <c r="S117" s="26"/>
      <c r="T117" s="26"/>
      <c r="U117" s="27"/>
    </row>
    <row r="118" spans="1:21" x14ac:dyDescent="0.25">
      <c r="A118" s="49">
        <v>4730</v>
      </c>
      <c r="B118" s="50" t="s">
        <v>105</v>
      </c>
      <c r="C118" s="14">
        <f t="shared" si="15"/>
        <v>1500</v>
      </c>
      <c r="D118" s="20">
        <v>227</v>
      </c>
      <c r="E118" s="17">
        <v>773</v>
      </c>
      <c r="F118" s="46">
        <v>200</v>
      </c>
      <c r="G118" s="46"/>
      <c r="H118" s="47"/>
      <c r="I118" s="46"/>
      <c r="J118" s="52"/>
      <c r="K118" s="52"/>
      <c r="L118" s="52"/>
      <c r="M118" s="52"/>
      <c r="N118" s="53">
        <v>300</v>
      </c>
      <c r="O118" s="47"/>
      <c r="P118" s="47"/>
      <c r="Q118" s="52"/>
      <c r="R118" s="47"/>
      <c r="S118" s="47"/>
      <c r="T118" s="47"/>
      <c r="U118" s="48"/>
    </row>
    <row r="119" spans="1:21" x14ac:dyDescent="0.25">
      <c r="A119" s="49">
        <v>4732</v>
      </c>
      <c r="B119" s="50" t="s">
        <v>106</v>
      </c>
      <c r="C119" s="14">
        <f t="shared" si="15"/>
        <v>2000</v>
      </c>
      <c r="D119" s="39">
        <v>227</v>
      </c>
      <c r="E119" s="46">
        <v>1273</v>
      </c>
      <c r="F119" s="46">
        <v>200</v>
      </c>
      <c r="G119" s="46"/>
      <c r="H119" s="47"/>
      <c r="I119" s="46"/>
      <c r="J119" s="52"/>
      <c r="K119" s="52"/>
      <c r="L119" s="52"/>
      <c r="M119" s="52"/>
      <c r="N119" s="51">
        <v>300</v>
      </c>
      <c r="O119" s="47"/>
      <c r="P119" s="47"/>
      <c r="Q119" s="52"/>
      <c r="R119" s="47"/>
      <c r="S119" s="47"/>
      <c r="T119" s="47"/>
      <c r="U119" s="48"/>
    </row>
    <row r="120" spans="1:21" x14ac:dyDescent="0.25">
      <c r="A120" s="49">
        <v>4733</v>
      </c>
      <c r="B120" s="50" t="s">
        <v>107</v>
      </c>
      <c r="C120" s="14">
        <f t="shared" si="15"/>
        <v>1200</v>
      </c>
      <c r="D120" s="20">
        <v>533</v>
      </c>
      <c r="E120" s="46">
        <v>667</v>
      </c>
      <c r="F120" s="46"/>
      <c r="G120" s="46"/>
      <c r="H120" s="47"/>
      <c r="I120" s="46"/>
      <c r="J120" s="52"/>
      <c r="K120" s="52"/>
      <c r="L120" s="52"/>
      <c r="M120" s="52"/>
      <c r="N120" s="52"/>
      <c r="O120" s="47"/>
      <c r="P120" s="47"/>
      <c r="Q120" s="52"/>
      <c r="R120" s="47"/>
      <c r="S120" s="47"/>
      <c r="T120" s="47"/>
      <c r="U120" s="48"/>
    </row>
    <row r="121" spans="1:21" x14ac:dyDescent="0.25">
      <c r="A121" s="21">
        <v>473</v>
      </c>
      <c r="B121" s="22" t="s">
        <v>108</v>
      </c>
      <c r="C121" s="14">
        <f t="shared" si="15"/>
        <v>4700</v>
      </c>
      <c r="D121" s="14">
        <f>SUM(D118:D120)</f>
        <v>987</v>
      </c>
      <c r="E121" s="14">
        <f>SUM(E118:E120)</f>
        <v>2713</v>
      </c>
      <c r="F121" s="14">
        <f>SUM(F118:F120)</f>
        <v>400</v>
      </c>
      <c r="G121" s="14">
        <f t="shared" ref="G121:T121" si="16">SUM(G118:G120)</f>
        <v>0</v>
      </c>
      <c r="H121" s="14">
        <f t="shared" si="16"/>
        <v>0</v>
      </c>
      <c r="I121" s="14">
        <f t="shared" si="16"/>
        <v>0</v>
      </c>
      <c r="J121" s="14">
        <f t="shared" si="16"/>
        <v>0</v>
      </c>
      <c r="K121" s="14">
        <f t="shared" si="16"/>
        <v>0</v>
      </c>
      <c r="L121" s="14">
        <f t="shared" si="16"/>
        <v>0</v>
      </c>
      <c r="M121" s="14">
        <f t="shared" si="16"/>
        <v>0</v>
      </c>
      <c r="N121" s="14">
        <f t="shared" si="16"/>
        <v>600</v>
      </c>
      <c r="O121" s="14">
        <f t="shared" si="16"/>
        <v>0</v>
      </c>
      <c r="P121" s="14">
        <f t="shared" si="16"/>
        <v>0</v>
      </c>
      <c r="Q121" s="14">
        <f t="shared" si="16"/>
        <v>0</v>
      </c>
      <c r="R121" s="14">
        <f t="shared" si="16"/>
        <v>0</v>
      </c>
      <c r="S121" s="14">
        <f t="shared" si="16"/>
        <v>0</v>
      </c>
      <c r="T121" s="14">
        <f t="shared" si="16"/>
        <v>0</v>
      </c>
      <c r="U121" s="27"/>
    </row>
    <row r="122" spans="1:21" x14ac:dyDescent="0.25">
      <c r="A122" s="21">
        <v>474</v>
      </c>
      <c r="B122" s="22" t="s">
        <v>109</v>
      </c>
      <c r="C122" s="14">
        <f t="shared" si="15"/>
        <v>3700</v>
      </c>
      <c r="D122" s="20">
        <v>1538.84</v>
      </c>
      <c r="E122" s="17">
        <v>1648.97</v>
      </c>
      <c r="F122" s="17">
        <v>262.19</v>
      </c>
      <c r="G122" s="25"/>
      <c r="H122" s="17"/>
      <c r="I122" s="25"/>
      <c r="J122" s="16"/>
      <c r="K122" s="16"/>
      <c r="L122" s="20">
        <v>0</v>
      </c>
      <c r="M122" s="16"/>
      <c r="N122" s="20">
        <v>250</v>
      </c>
      <c r="O122" s="26"/>
      <c r="P122" s="26"/>
      <c r="Q122" s="16"/>
      <c r="R122" s="26"/>
      <c r="S122" s="26"/>
      <c r="T122" s="26"/>
      <c r="U122" s="27"/>
    </row>
    <row r="123" spans="1:21" x14ac:dyDescent="0.25">
      <c r="A123" s="82">
        <v>4730</v>
      </c>
      <c r="B123" s="83" t="s">
        <v>140</v>
      </c>
      <c r="C123" s="14">
        <f t="shared" si="15"/>
        <v>26424</v>
      </c>
      <c r="D123" s="84"/>
      <c r="E123" s="85"/>
      <c r="F123" s="85"/>
      <c r="G123" s="86"/>
      <c r="H123" s="85">
        <f>13212*2</f>
        <v>26424</v>
      </c>
      <c r="I123" s="86"/>
      <c r="J123" s="87"/>
      <c r="K123" s="87"/>
      <c r="L123" s="84"/>
      <c r="M123" s="87"/>
      <c r="N123" s="84"/>
      <c r="O123" s="88"/>
      <c r="P123" s="88"/>
      <c r="Q123" s="87"/>
      <c r="R123" s="88"/>
      <c r="S123" s="88"/>
      <c r="T123" s="88"/>
      <c r="U123" s="89"/>
    </row>
    <row r="124" spans="1:21" x14ac:dyDescent="0.25">
      <c r="A124" s="21">
        <v>47</v>
      </c>
      <c r="B124" s="22" t="s">
        <v>110</v>
      </c>
      <c r="C124" s="17">
        <f>C117+C121+C122+C123</f>
        <v>57124</v>
      </c>
      <c r="D124" s="17">
        <f t="shared" ref="D124:U124" si="17">D117+D121+D122</f>
        <v>12083.84</v>
      </c>
      <c r="E124" s="17">
        <f t="shared" si="17"/>
        <v>14603.97</v>
      </c>
      <c r="F124" s="17">
        <f>F117+F121+F122</f>
        <v>1362.19</v>
      </c>
      <c r="G124" s="26">
        <f t="shared" si="17"/>
        <v>0</v>
      </c>
      <c r="H124" s="17">
        <f>H117+H121+H122+H123</f>
        <v>26424</v>
      </c>
      <c r="I124" s="26">
        <f t="shared" si="17"/>
        <v>0</v>
      </c>
      <c r="J124" s="26">
        <f t="shared" si="17"/>
        <v>0</v>
      </c>
      <c r="K124" s="26">
        <f t="shared" si="17"/>
        <v>0</v>
      </c>
      <c r="L124" s="26">
        <f t="shared" si="17"/>
        <v>0</v>
      </c>
      <c r="M124" s="26">
        <f t="shared" si="17"/>
        <v>0</v>
      </c>
      <c r="N124" s="17">
        <f t="shared" si="17"/>
        <v>1050</v>
      </c>
      <c r="O124" s="26">
        <f t="shared" si="17"/>
        <v>1600</v>
      </c>
      <c r="P124" s="26">
        <f t="shared" si="17"/>
        <v>0</v>
      </c>
      <c r="Q124" s="26">
        <f t="shared" si="17"/>
        <v>0</v>
      </c>
      <c r="R124" s="26">
        <f t="shared" si="17"/>
        <v>0</v>
      </c>
      <c r="S124" s="26">
        <f t="shared" si="17"/>
        <v>0</v>
      </c>
      <c r="T124" s="26">
        <f t="shared" si="17"/>
        <v>0</v>
      </c>
      <c r="U124" s="27">
        <f t="shared" si="17"/>
        <v>0</v>
      </c>
    </row>
    <row r="125" spans="1:21" x14ac:dyDescent="0.25">
      <c r="A125" s="12">
        <v>48</v>
      </c>
      <c r="B125" s="13" t="s">
        <v>111</v>
      </c>
      <c r="C125" s="14">
        <f>D125+E125+F125+G125+H125+I125+J125+K125+L125+M125+N125+O125+P125+Q125+R125+S125+T125</f>
        <v>0</v>
      </c>
      <c r="D125" s="20">
        <v>0</v>
      </c>
      <c r="E125" s="25">
        <v>0</v>
      </c>
      <c r="F125" s="17">
        <v>0</v>
      </c>
      <c r="G125" s="25"/>
      <c r="H125" s="17">
        <v>0</v>
      </c>
      <c r="I125" s="20">
        <v>0</v>
      </c>
      <c r="J125" s="20">
        <v>0</v>
      </c>
      <c r="K125" s="16"/>
      <c r="L125" s="20">
        <v>0</v>
      </c>
      <c r="M125" s="16"/>
      <c r="N125" s="20">
        <v>0</v>
      </c>
      <c r="O125" s="15"/>
      <c r="P125" s="15"/>
      <c r="Q125" s="20">
        <v>0</v>
      </c>
      <c r="R125" s="15"/>
      <c r="S125" s="15"/>
      <c r="T125" s="15"/>
      <c r="U125" s="19"/>
    </row>
    <row r="126" spans="1:21" hidden="1" x14ac:dyDescent="0.25">
      <c r="A126" s="12"/>
      <c r="B126" s="13"/>
      <c r="C126" s="22"/>
      <c r="D126" s="39"/>
      <c r="E126" s="25"/>
      <c r="F126" s="25"/>
      <c r="G126" s="25"/>
      <c r="H126" s="15"/>
      <c r="I126" s="2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9"/>
    </row>
    <row r="127" spans="1:21" hidden="1" x14ac:dyDescent="0.25">
      <c r="A127" s="12"/>
      <c r="B127" s="13"/>
      <c r="C127" s="22"/>
      <c r="D127" s="39"/>
      <c r="E127" s="25"/>
      <c r="F127" s="25"/>
      <c r="G127" s="25"/>
      <c r="H127" s="15"/>
      <c r="I127" s="2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9"/>
    </row>
    <row r="128" spans="1:21" hidden="1" x14ac:dyDescent="0.25">
      <c r="A128" s="12"/>
      <c r="B128" s="13"/>
      <c r="C128" s="22"/>
      <c r="D128" s="39"/>
      <c r="E128" s="25"/>
      <c r="F128" s="25"/>
      <c r="G128" s="25"/>
      <c r="H128" s="15"/>
      <c r="I128" s="2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9"/>
    </row>
    <row r="129" spans="1:21" hidden="1" x14ac:dyDescent="0.25">
      <c r="A129" s="12"/>
      <c r="B129" s="13"/>
      <c r="C129" s="22"/>
      <c r="D129" s="39"/>
      <c r="E129" s="25"/>
      <c r="F129" s="25"/>
      <c r="G129" s="25"/>
      <c r="H129" s="15"/>
      <c r="I129" s="39"/>
      <c r="J129" s="16"/>
      <c r="K129" s="16"/>
      <c r="L129" s="16"/>
      <c r="M129" s="16"/>
      <c r="N129" s="16"/>
      <c r="O129" s="15"/>
      <c r="P129" s="15"/>
      <c r="Q129" s="16"/>
      <c r="R129" s="15"/>
      <c r="S129" s="15"/>
      <c r="T129" s="15"/>
      <c r="U129" s="19"/>
    </row>
    <row r="130" spans="1:21" hidden="1" x14ac:dyDescent="0.25">
      <c r="A130" s="12"/>
      <c r="B130" s="13"/>
      <c r="C130" s="22"/>
      <c r="D130" s="39"/>
      <c r="E130" s="25"/>
      <c r="F130" s="25"/>
      <c r="G130" s="25"/>
      <c r="H130" s="15"/>
      <c r="I130" s="39"/>
      <c r="J130" s="16"/>
      <c r="K130" s="16"/>
      <c r="L130" s="16"/>
      <c r="M130" s="16"/>
      <c r="N130" s="16"/>
      <c r="O130" s="15"/>
      <c r="P130" s="15"/>
      <c r="Q130" s="16"/>
      <c r="R130" s="15"/>
      <c r="S130" s="15"/>
      <c r="T130" s="15"/>
      <c r="U130" s="19"/>
    </row>
    <row r="131" spans="1:21" hidden="1" x14ac:dyDescent="0.25">
      <c r="A131" s="12"/>
      <c r="B131" s="13"/>
      <c r="C131" s="22"/>
      <c r="D131" s="39"/>
      <c r="E131" s="25"/>
      <c r="F131" s="25"/>
      <c r="G131" s="25"/>
      <c r="H131" s="15"/>
      <c r="I131" s="39"/>
      <c r="J131" s="16"/>
      <c r="K131" s="16"/>
      <c r="L131" s="16"/>
      <c r="M131" s="16"/>
      <c r="N131" s="16"/>
      <c r="O131" s="15"/>
      <c r="P131" s="15"/>
      <c r="Q131" s="16"/>
      <c r="R131" s="15"/>
      <c r="S131" s="15"/>
      <c r="T131" s="15"/>
      <c r="U131" s="19"/>
    </row>
    <row r="132" spans="1:21" hidden="1" x14ac:dyDescent="0.25">
      <c r="A132" s="12"/>
      <c r="B132" s="13"/>
      <c r="C132" s="22"/>
      <c r="D132" s="39"/>
      <c r="E132" s="25"/>
      <c r="F132" s="25"/>
      <c r="G132" s="25"/>
      <c r="H132" s="15"/>
      <c r="I132" s="39"/>
      <c r="J132" s="16"/>
      <c r="K132" s="16"/>
      <c r="L132" s="16"/>
      <c r="M132" s="16"/>
      <c r="N132" s="16"/>
      <c r="O132" s="15"/>
      <c r="P132" s="15"/>
      <c r="Q132" s="16"/>
      <c r="R132" s="15"/>
      <c r="S132" s="15"/>
      <c r="T132" s="15"/>
      <c r="U132" s="19"/>
    </row>
    <row r="133" spans="1:21" x14ac:dyDescent="0.25">
      <c r="A133" s="21">
        <v>48</v>
      </c>
      <c r="B133" s="22" t="s">
        <v>112</v>
      </c>
      <c r="C133" s="14">
        <f>D133+E133+F133+G133+H133+I133+J133+K133+L133+M133+N133+O133+P133+Q133+R133+S133+T133</f>
        <v>0</v>
      </c>
      <c r="D133" s="20">
        <v>0</v>
      </c>
      <c r="E133" s="25">
        <v>0</v>
      </c>
      <c r="F133" s="17">
        <v>0</v>
      </c>
      <c r="G133" s="25">
        <v>0</v>
      </c>
      <c r="H133" s="17">
        <v>0</v>
      </c>
      <c r="I133" s="17">
        <v>0</v>
      </c>
      <c r="J133" s="17">
        <v>0</v>
      </c>
      <c r="K133" s="26">
        <v>0</v>
      </c>
      <c r="L133" s="17">
        <v>0</v>
      </c>
      <c r="M133" s="26">
        <v>0</v>
      </c>
      <c r="N133" s="17">
        <v>0</v>
      </c>
      <c r="O133" s="26"/>
      <c r="P133" s="26"/>
      <c r="Q133" s="17">
        <v>0</v>
      </c>
      <c r="R133" s="26">
        <v>0</v>
      </c>
      <c r="S133" s="26">
        <v>0</v>
      </c>
      <c r="T133" s="26">
        <v>0</v>
      </c>
      <c r="U133" s="27">
        <v>0</v>
      </c>
    </row>
    <row r="134" spans="1:21" x14ac:dyDescent="0.25">
      <c r="A134" s="21">
        <v>4</v>
      </c>
      <c r="B134" s="22" t="s">
        <v>113</v>
      </c>
      <c r="C134" s="22">
        <f>C16+C17+C59+C115+C116+C124+C133</f>
        <v>211959</v>
      </c>
      <c r="D134" s="22">
        <f t="shared" ref="D134:U134" si="18">D16+D17+D59+D115+D116+D124+D133</f>
        <v>42731</v>
      </c>
      <c r="E134" s="22">
        <f t="shared" si="18"/>
        <v>44400</v>
      </c>
      <c r="F134" s="22">
        <f t="shared" si="18"/>
        <v>3500</v>
      </c>
      <c r="G134" s="22">
        <f t="shared" si="18"/>
        <v>500</v>
      </c>
      <c r="H134" s="22">
        <f>H16+H17+H59+H115+H116+H124+H133</f>
        <v>53224</v>
      </c>
      <c r="I134" s="22">
        <f t="shared" si="18"/>
        <v>22550</v>
      </c>
      <c r="J134" s="22">
        <f t="shared" si="18"/>
        <v>500</v>
      </c>
      <c r="K134" s="22">
        <f t="shared" si="18"/>
        <v>500</v>
      </c>
      <c r="L134" s="22">
        <f t="shared" si="18"/>
        <v>2000</v>
      </c>
      <c r="M134" s="22">
        <f t="shared" si="18"/>
        <v>2000</v>
      </c>
      <c r="N134" s="22">
        <f t="shared" si="18"/>
        <v>3000</v>
      </c>
      <c r="O134" s="22">
        <f t="shared" si="18"/>
        <v>11000</v>
      </c>
      <c r="P134" s="22">
        <f t="shared" si="18"/>
        <v>13354</v>
      </c>
      <c r="Q134" s="22">
        <f t="shared" si="18"/>
        <v>500</v>
      </c>
      <c r="R134" s="22">
        <f t="shared" si="18"/>
        <v>200</v>
      </c>
      <c r="S134" s="22">
        <f t="shared" si="18"/>
        <v>500</v>
      </c>
      <c r="T134" s="22">
        <f t="shared" si="18"/>
        <v>1500</v>
      </c>
      <c r="U134" s="59">
        <f t="shared" si="18"/>
        <v>11500</v>
      </c>
    </row>
    <row r="135" spans="1:21" x14ac:dyDescent="0.25">
      <c r="A135" s="60"/>
      <c r="B135" s="61" t="s">
        <v>114</v>
      </c>
      <c r="C135" s="62">
        <f>C13-C134-C15</f>
        <v>5141</v>
      </c>
      <c r="D135" s="62">
        <f>D13-D134-D15</f>
        <v>30269</v>
      </c>
      <c r="E135" s="62">
        <f t="shared" ref="E135:U135" si="19">E13-E134</f>
        <v>0</v>
      </c>
      <c r="F135" s="62">
        <f t="shared" si="19"/>
        <v>0</v>
      </c>
      <c r="G135" s="62">
        <f t="shared" si="19"/>
        <v>0</v>
      </c>
      <c r="H135" s="62">
        <f>H13-H134</f>
        <v>6776</v>
      </c>
      <c r="I135" s="62">
        <f t="shared" si="19"/>
        <v>450</v>
      </c>
      <c r="J135" s="62">
        <f t="shared" si="19"/>
        <v>0</v>
      </c>
      <c r="K135" s="62">
        <f t="shared" si="19"/>
        <v>0</v>
      </c>
      <c r="L135" s="62">
        <f t="shared" si="19"/>
        <v>0</v>
      </c>
      <c r="M135" s="62">
        <f t="shared" si="19"/>
        <v>0</v>
      </c>
      <c r="N135" s="62">
        <f t="shared" si="19"/>
        <v>0</v>
      </c>
      <c r="O135" s="62">
        <f t="shared" si="19"/>
        <v>-11000</v>
      </c>
      <c r="P135" s="62">
        <f t="shared" si="19"/>
        <v>-13354</v>
      </c>
      <c r="Q135" s="62">
        <f t="shared" si="19"/>
        <v>0</v>
      </c>
      <c r="R135" s="62">
        <f t="shared" si="19"/>
        <v>0</v>
      </c>
      <c r="S135" s="62">
        <f t="shared" si="19"/>
        <v>0</v>
      </c>
      <c r="T135" s="62">
        <f t="shared" si="19"/>
        <v>-1500</v>
      </c>
      <c r="U135" s="63">
        <f t="shared" si="19"/>
        <v>-8000</v>
      </c>
    </row>
  </sheetData>
  <pageMargins left="0.7" right="0.7" top="0.75" bottom="0.75" header="0.3" footer="0.3"/>
  <pageSetup paperSize="9" orientation="landscape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F134"/>
  <sheetViews>
    <sheetView workbookViewId="0">
      <selection activeCell="I60" sqref="I60"/>
    </sheetView>
  </sheetViews>
  <sheetFormatPr defaultRowHeight="15" x14ac:dyDescent="0.25"/>
  <cols>
    <col min="2" max="2" width="32.5703125" customWidth="1"/>
    <col min="3" max="3" width="12.42578125" bestFit="1" customWidth="1"/>
    <col min="4" max="4" width="15.5703125" customWidth="1"/>
    <col min="5" max="5" width="11.28515625" customWidth="1"/>
  </cols>
  <sheetData>
    <row r="1" spans="1:6" ht="25.5" x14ac:dyDescent="0.25">
      <c r="A1" s="69" t="s">
        <v>0</v>
      </c>
      <c r="B1" s="70" t="s">
        <v>119</v>
      </c>
      <c r="C1" s="78" t="s">
        <v>116</v>
      </c>
      <c r="D1" s="79" t="s">
        <v>115</v>
      </c>
      <c r="E1" s="79" t="s">
        <v>117</v>
      </c>
      <c r="F1" s="71"/>
    </row>
    <row r="2" spans="1:6" x14ac:dyDescent="0.25">
      <c r="A2" s="64" t="s">
        <v>0</v>
      </c>
      <c r="B2" s="8" t="s">
        <v>2</v>
      </c>
      <c r="C2" s="8"/>
      <c r="D2" s="72"/>
      <c r="E2" s="72"/>
    </row>
    <row r="3" spans="1:6" x14ac:dyDescent="0.25">
      <c r="A3" s="65">
        <v>7600</v>
      </c>
      <c r="B3" s="13" t="s">
        <v>3</v>
      </c>
      <c r="C3" s="73">
        <f>4128.57+5.19</f>
        <v>4133.7599999999993</v>
      </c>
      <c r="D3" s="73">
        <v>4000</v>
      </c>
      <c r="E3" s="74">
        <f>C3/D3*100</f>
        <v>103.34399999999999</v>
      </c>
    </row>
    <row r="4" spans="1:6" x14ac:dyDescent="0.25">
      <c r="A4" s="65">
        <v>7601</v>
      </c>
      <c r="B4" s="13" t="s">
        <v>4</v>
      </c>
      <c r="C4" s="73">
        <v>65020</v>
      </c>
      <c r="D4" s="73">
        <v>65000</v>
      </c>
      <c r="E4" s="74">
        <f>C4/D4*100</f>
        <v>100.03076923076924</v>
      </c>
    </row>
    <row r="5" spans="1:6" x14ac:dyDescent="0.25">
      <c r="A5" s="65">
        <v>7602</v>
      </c>
      <c r="B5" s="13" t="s">
        <v>5</v>
      </c>
      <c r="C5" s="73">
        <f>44400+10109.01</f>
        <v>54509.01</v>
      </c>
      <c r="D5" s="73">
        <v>96900</v>
      </c>
      <c r="E5" s="74">
        <f t="shared" ref="E5:E68" si="0">C5/D5*100</f>
        <v>56.252848297213617</v>
      </c>
    </row>
    <row r="6" spans="1:6" x14ac:dyDescent="0.25">
      <c r="A6" s="65">
        <v>7603</v>
      </c>
      <c r="B6" s="13" t="s">
        <v>6</v>
      </c>
      <c r="C6" s="73">
        <f>6470+6600.67+574+1013.2</f>
        <v>14657.87</v>
      </c>
      <c r="D6" s="73">
        <v>1500</v>
      </c>
      <c r="E6" s="74">
        <f t="shared" si="0"/>
        <v>977.19133333333343</v>
      </c>
    </row>
    <row r="7" spans="1:6" x14ac:dyDescent="0.25">
      <c r="A7" s="65">
        <v>7604</v>
      </c>
      <c r="B7" s="13" t="s">
        <v>7</v>
      </c>
      <c r="C7" s="73">
        <v>200</v>
      </c>
      <c r="D7" s="73">
        <v>500</v>
      </c>
      <c r="E7" s="74">
        <f t="shared" si="0"/>
        <v>40</v>
      </c>
    </row>
    <row r="8" spans="1:6" x14ac:dyDescent="0.25">
      <c r="A8" s="65">
        <v>7605</v>
      </c>
      <c r="B8" s="13" t="s">
        <v>8</v>
      </c>
      <c r="C8" s="73">
        <v>24810.09</v>
      </c>
      <c r="D8" s="73">
        <v>25000</v>
      </c>
      <c r="E8" s="74">
        <f t="shared" si="0"/>
        <v>99.24036000000001</v>
      </c>
    </row>
    <row r="9" spans="1:6" x14ac:dyDescent="0.25">
      <c r="A9" s="65">
        <v>7606</v>
      </c>
      <c r="B9" s="13" t="s">
        <v>9</v>
      </c>
      <c r="C9" s="73">
        <v>1130.4000000000001</v>
      </c>
      <c r="D9" s="73">
        <v>1500</v>
      </c>
      <c r="E9" s="74">
        <f t="shared" si="0"/>
        <v>75.36</v>
      </c>
    </row>
    <row r="10" spans="1:6" hidden="1" x14ac:dyDescent="0.25">
      <c r="A10" s="65">
        <v>7607</v>
      </c>
      <c r="B10" s="13" t="s">
        <v>10</v>
      </c>
      <c r="C10" s="73">
        <v>0</v>
      </c>
      <c r="D10" s="73">
        <v>0</v>
      </c>
      <c r="E10" s="74" t="e">
        <f t="shared" si="0"/>
        <v>#DIV/0!</v>
      </c>
    </row>
    <row r="11" spans="1:6" x14ac:dyDescent="0.25">
      <c r="A11" s="66">
        <v>76</v>
      </c>
      <c r="B11" s="22" t="s">
        <v>11</v>
      </c>
      <c r="C11" s="73">
        <f>SUM(C3:C9)</f>
        <v>164461.12999999998</v>
      </c>
      <c r="D11" s="73">
        <v>194400</v>
      </c>
      <c r="E11" s="74">
        <f t="shared" si="0"/>
        <v>84.59934670781891</v>
      </c>
    </row>
    <row r="12" spans="1:6" hidden="1" x14ac:dyDescent="0.25">
      <c r="A12" s="66">
        <v>78</v>
      </c>
      <c r="B12" s="22" t="s">
        <v>12</v>
      </c>
      <c r="C12" s="81">
        <v>5.19</v>
      </c>
      <c r="D12" s="75">
        <v>0</v>
      </c>
      <c r="E12" s="74" t="e">
        <f t="shared" si="0"/>
        <v>#DIV/0!</v>
      </c>
    </row>
    <row r="13" spans="1:6" x14ac:dyDescent="0.25">
      <c r="A13" s="66">
        <v>7</v>
      </c>
      <c r="B13" s="22" t="s">
        <v>13</v>
      </c>
      <c r="C13" s="76">
        <v>164461.13</v>
      </c>
      <c r="D13" s="76">
        <f t="shared" ref="D13" si="1">D11+D12</f>
        <v>194400</v>
      </c>
      <c r="E13" s="74">
        <f t="shared" si="0"/>
        <v>84.599346707818938</v>
      </c>
    </row>
    <row r="14" spans="1:6" hidden="1" x14ac:dyDescent="0.25">
      <c r="A14" s="66">
        <v>702</v>
      </c>
      <c r="B14" s="22" t="s">
        <v>14</v>
      </c>
      <c r="C14" s="81">
        <v>0</v>
      </c>
      <c r="D14" s="81">
        <v>0</v>
      </c>
      <c r="E14" s="74" t="e">
        <f t="shared" si="0"/>
        <v>#DIV/0!</v>
      </c>
    </row>
    <row r="15" spans="1:6" hidden="1" x14ac:dyDescent="0.25">
      <c r="A15" s="65">
        <v>7400</v>
      </c>
      <c r="B15" s="13" t="s">
        <v>15</v>
      </c>
      <c r="C15" s="73">
        <v>2.41</v>
      </c>
      <c r="D15" s="73">
        <v>0</v>
      </c>
      <c r="E15" s="74" t="e">
        <f>C15/D15*100</f>
        <v>#DIV/0!</v>
      </c>
    </row>
    <row r="16" spans="1:6" hidden="1" x14ac:dyDescent="0.25">
      <c r="A16" s="66">
        <v>74</v>
      </c>
      <c r="B16" s="22" t="s">
        <v>16</v>
      </c>
      <c r="C16" s="73">
        <v>0</v>
      </c>
      <c r="D16" s="73">
        <v>0</v>
      </c>
      <c r="E16" s="74" t="e">
        <f t="shared" si="0"/>
        <v>#DIV/0!</v>
      </c>
    </row>
    <row r="17" spans="1:5" x14ac:dyDescent="0.25">
      <c r="A17" s="65">
        <v>702</v>
      </c>
      <c r="B17" s="13" t="s">
        <v>17</v>
      </c>
      <c r="C17" s="73">
        <v>15495.41</v>
      </c>
      <c r="D17" s="73">
        <v>15500</v>
      </c>
      <c r="E17" s="74">
        <f t="shared" si="0"/>
        <v>99.970387096774189</v>
      </c>
    </row>
    <row r="18" spans="1:5" x14ac:dyDescent="0.25">
      <c r="A18" s="65">
        <v>4001</v>
      </c>
      <c r="B18" s="13" t="s">
        <v>18</v>
      </c>
      <c r="C18" s="73">
        <v>8527.7999999999993</v>
      </c>
      <c r="D18" s="73">
        <v>8000</v>
      </c>
      <c r="E18" s="74">
        <f t="shared" si="0"/>
        <v>106.5975</v>
      </c>
    </row>
    <row r="19" spans="1:5" hidden="1" x14ac:dyDescent="0.25">
      <c r="A19" s="65"/>
      <c r="B19" s="13"/>
      <c r="C19" s="77"/>
      <c r="D19" s="77"/>
      <c r="E19" s="74" t="e">
        <f t="shared" si="0"/>
        <v>#DIV/0!</v>
      </c>
    </row>
    <row r="20" spans="1:5" hidden="1" x14ac:dyDescent="0.25">
      <c r="A20" s="65"/>
      <c r="B20" s="13"/>
      <c r="C20" s="77"/>
      <c r="D20" s="77"/>
      <c r="E20" s="74" t="e">
        <f t="shared" si="0"/>
        <v>#DIV/0!</v>
      </c>
    </row>
    <row r="21" spans="1:5" hidden="1" x14ac:dyDescent="0.25">
      <c r="A21" s="65"/>
      <c r="B21" s="13"/>
      <c r="C21" s="77"/>
      <c r="D21" s="77"/>
      <c r="E21" s="74" t="e">
        <f t="shared" si="0"/>
        <v>#DIV/0!</v>
      </c>
    </row>
    <row r="22" spans="1:5" hidden="1" x14ac:dyDescent="0.25">
      <c r="A22" s="65"/>
      <c r="B22" s="13"/>
      <c r="C22" s="77"/>
      <c r="D22" s="77"/>
      <c r="E22" s="74" t="e">
        <f t="shared" si="0"/>
        <v>#DIV/0!</v>
      </c>
    </row>
    <row r="23" spans="1:5" hidden="1" x14ac:dyDescent="0.25">
      <c r="A23" s="65"/>
      <c r="B23" s="13"/>
      <c r="C23" s="77"/>
      <c r="D23" s="77"/>
      <c r="E23" s="74" t="e">
        <f t="shared" si="0"/>
        <v>#DIV/0!</v>
      </c>
    </row>
    <row r="24" spans="1:5" hidden="1" x14ac:dyDescent="0.25">
      <c r="A24" s="65"/>
      <c r="B24" s="13" t="s">
        <v>19</v>
      </c>
      <c r="C24" s="77">
        <v>0</v>
      </c>
      <c r="D24" s="77">
        <v>0</v>
      </c>
      <c r="E24" s="74" t="e">
        <f t="shared" si="0"/>
        <v>#DIV/0!</v>
      </c>
    </row>
    <row r="25" spans="1:5" hidden="1" x14ac:dyDescent="0.25">
      <c r="A25" s="65"/>
      <c r="B25" s="13" t="s">
        <v>20</v>
      </c>
      <c r="C25" s="77">
        <v>0</v>
      </c>
      <c r="D25" s="77">
        <v>0</v>
      </c>
      <c r="E25" s="74" t="e">
        <f t="shared" si="0"/>
        <v>#DIV/0!</v>
      </c>
    </row>
    <row r="26" spans="1:5" hidden="1" x14ac:dyDescent="0.25">
      <c r="A26" s="65"/>
      <c r="B26" s="13" t="s">
        <v>21</v>
      </c>
      <c r="C26" s="77">
        <v>0</v>
      </c>
      <c r="D26" s="77">
        <v>0</v>
      </c>
      <c r="E26" s="74" t="e">
        <f t="shared" si="0"/>
        <v>#DIV/0!</v>
      </c>
    </row>
    <row r="27" spans="1:5" hidden="1" x14ac:dyDescent="0.25">
      <c r="A27" s="65"/>
      <c r="B27" s="13" t="s">
        <v>22</v>
      </c>
      <c r="C27" s="77">
        <v>0</v>
      </c>
      <c r="D27" s="77">
        <v>0</v>
      </c>
      <c r="E27" s="74" t="e">
        <f t="shared" si="0"/>
        <v>#DIV/0!</v>
      </c>
    </row>
    <row r="28" spans="1:5" hidden="1" x14ac:dyDescent="0.25">
      <c r="A28" s="65"/>
      <c r="B28" s="13" t="s">
        <v>23</v>
      </c>
      <c r="C28" s="77">
        <v>0</v>
      </c>
      <c r="D28" s="77">
        <v>0</v>
      </c>
      <c r="E28" s="74" t="e">
        <f t="shared" si="0"/>
        <v>#DIV/0!</v>
      </c>
    </row>
    <row r="29" spans="1:5" hidden="1" x14ac:dyDescent="0.25">
      <c r="A29" s="65"/>
      <c r="B29" s="13" t="s">
        <v>24</v>
      </c>
      <c r="C29" s="77">
        <v>0</v>
      </c>
      <c r="D29" s="77">
        <v>0</v>
      </c>
      <c r="E29" s="74" t="e">
        <f t="shared" si="0"/>
        <v>#DIV/0!</v>
      </c>
    </row>
    <row r="30" spans="1:5" hidden="1" x14ac:dyDescent="0.25">
      <c r="A30" s="65"/>
      <c r="B30" s="13" t="s">
        <v>25</v>
      </c>
      <c r="C30" s="77">
        <v>0</v>
      </c>
      <c r="D30" s="77">
        <v>0</v>
      </c>
      <c r="E30" s="74" t="e">
        <f t="shared" si="0"/>
        <v>#DIV/0!</v>
      </c>
    </row>
    <row r="31" spans="1:5" hidden="1" x14ac:dyDescent="0.25">
      <c r="A31" s="65"/>
      <c r="B31" s="13" t="s">
        <v>26</v>
      </c>
      <c r="C31" s="77">
        <v>0</v>
      </c>
      <c r="D31" s="77">
        <v>0</v>
      </c>
      <c r="E31" s="74" t="e">
        <f t="shared" si="0"/>
        <v>#DIV/0!</v>
      </c>
    </row>
    <row r="32" spans="1:5" hidden="1" x14ac:dyDescent="0.25">
      <c r="A32" s="65"/>
      <c r="B32" s="13" t="s">
        <v>27</v>
      </c>
      <c r="C32" s="77"/>
      <c r="D32" s="77"/>
      <c r="E32" s="74" t="e">
        <f t="shared" si="0"/>
        <v>#DIV/0!</v>
      </c>
    </row>
    <row r="33" spans="1:5" hidden="1" x14ac:dyDescent="0.25">
      <c r="A33" s="65"/>
      <c r="B33" s="13" t="s">
        <v>28</v>
      </c>
      <c r="C33" s="77"/>
      <c r="D33" s="77"/>
      <c r="E33" s="74" t="e">
        <f t="shared" si="0"/>
        <v>#DIV/0!</v>
      </c>
    </row>
    <row r="34" spans="1:5" hidden="1" x14ac:dyDescent="0.25">
      <c r="A34" s="65"/>
      <c r="B34" s="13" t="s">
        <v>29</v>
      </c>
      <c r="C34" s="77"/>
      <c r="D34" s="77"/>
      <c r="E34" s="74" t="e">
        <f t="shared" si="0"/>
        <v>#DIV/0!</v>
      </c>
    </row>
    <row r="35" spans="1:5" hidden="1" x14ac:dyDescent="0.25">
      <c r="A35" s="65"/>
      <c r="B35" s="13" t="s">
        <v>21</v>
      </c>
      <c r="C35" s="77"/>
      <c r="D35" s="77"/>
      <c r="E35" s="74" t="e">
        <f t="shared" si="0"/>
        <v>#DIV/0!</v>
      </c>
    </row>
    <row r="36" spans="1:5" hidden="1" x14ac:dyDescent="0.25">
      <c r="A36" s="65"/>
      <c r="B36" s="13" t="s">
        <v>30</v>
      </c>
      <c r="C36" s="77"/>
      <c r="D36" s="77"/>
      <c r="E36" s="74" t="e">
        <f t="shared" si="0"/>
        <v>#DIV/0!</v>
      </c>
    </row>
    <row r="37" spans="1:5" hidden="1" x14ac:dyDescent="0.25">
      <c r="A37" s="65"/>
      <c r="B37" s="13" t="s">
        <v>31</v>
      </c>
      <c r="C37" s="77"/>
      <c r="D37" s="77"/>
      <c r="E37" s="74" t="e">
        <f t="shared" si="0"/>
        <v>#DIV/0!</v>
      </c>
    </row>
    <row r="38" spans="1:5" hidden="1" x14ac:dyDescent="0.25">
      <c r="A38" s="65"/>
      <c r="B38" s="13"/>
      <c r="C38" s="77"/>
      <c r="D38" s="77"/>
      <c r="E38" s="74" t="e">
        <f t="shared" si="0"/>
        <v>#DIV/0!</v>
      </c>
    </row>
    <row r="39" spans="1:5" hidden="1" x14ac:dyDescent="0.25">
      <c r="A39" s="65"/>
      <c r="B39" s="13" t="s">
        <v>32</v>
      </c>
      <c r="C39" s="77"/>
      <c r="D39" s="77"/>
      <c r="E39" s="74" t="e">
        <f t="shared" si="0"/>
        <v>#DIV/0!</v>
      </c>
    </row>
    <row r="40" spans="1:5" hidden="1" x14ac:dyDescent="0.25">
      <c r="A40" s="65"/>
      <c r="B40" s="13"/>
      <c r="C40" s="77"/>
      <c r="D40" s="77"/>
      <c r="E40" s="74" t="e">
        <f t="shared" si="0"/>
        <v>#DIV/0!</v>
      </c>
    </row>
    <row r="41" spans="1:5" hidden="1" x14ac:dyDescent="0.25">
      <c r="A41" s="65"/>
      <c r="B41" s="13" t="s">
        <v>33</v>
      </c>
      <c r="C41" s="77"/>
      <c r="D41" s="77"/>
      <c r="E41" s="74" t="e">
        <f t="shared" si="0"/>
        <v>#DIV/0!</v>
      </c>
    </row>
    <row r="42" spans="1:5" hidden="1" x14ac:dyDescent="0.25">
      <c r="A42" s="65"/>
      <c r="B42" s="13" t="s">
        <v>34</v>
      </c>
      <c r="C42" s="77"/>
      <c r="D42" s="77"/>
      <c r="E42" s="74" t="e">
        <f t="shared" si="0"/>
        <v>#DIV/0!</v>
      </c>
    </row>
    <row r="43" spans="1:5" hidden="1" x14ac:dyDescent="0.25">
      <c r="A43" s="65"/>
      <c r="B43" s="13" t="s">
        <v>35</v>
      </c>
      <c r="C43" s="77">
        <v>0</v>
      </c>
      <c r="D43" s="77">
        <v>0</v>
      </c>
      <c r="E43" s="74" t="e">
        <f t="shared" si="0"/>
        <v>#DIV/0!</v>
      </c>
    </row>
    <row r="44" spans="1:5" hidden="1" x14ac:dyDescent="0.25">
      <c r="A44" s="65"/>
      <c r="B44" s="13" t="s">
        <v>36</v>
      </c>
      <c r="C44" s="77">
        <v>0</v>
      </c>
      <c r="D44" s="77">
        <v>0</v>
      </c>
      <c r="E44" s="74" t="e">
        <f t="shared" si="0"/>
        <v>#DIV/0!</v>
      </c>
    </row>
    <row r="45" spans="1:5" hidden="1" x14ac:dyDescent="0.25">
      <c r="A45" s="65"/>
      <c r="B45" s="13" t="s">
        <v>37</v>
      </c>
      <c r="C45" s="77">
        <v>0</v>
      </c>
      <c r="D45" s="77">
        <v>0</v>
      </c>
      <c r="E45" s="74" t="e">
        <f t="shared" si="0"/>
        <v>#DIV/0!</v>
      </c>
    </row>
    <row r="46" spans="1:5" hidden="1" x14ac:dyDescent="0.25">
      <c r="A46" s="65"/>
      <c r="B46" s="13" t="s">
        <v>38</v>
      </c>
      <c r="C46" s="77">
        <v>0</v>
      </c>
      <c r="D46" s="77">
        <v>0</v>
      </c>
      <c r="E46" s="74" t="e">
        <f t="shared" si="0"/>
        <v>#DIV/0!</v>
      </c>
    </row>
    <row r="47" spans="1:5" hidden="1" x14ac:dyDescent="0.25">
      <c r="A47" s="65"/>
      <c r="B47" s="13" t="s">
        <v>39</v>
      </c>
      <c r="C47" s="77">
        <v>0</v>
      </c>
      <c r="D47" s="77">
        <v>0</v>
      </c>
      <c r="E47" s="74" t="e">
        <f t="shared" si="0"/>
        <v>#DIV/0!</v>
      </c>
    </row>
    <row r="48" spans="1:5" hidden="1" x14ac:dyDescent="0.25">
      <c r="A48" s="65"/>
      <c r="B48" s="13" t="s">
        <v>40</v>
      </c>
      <c r="C48" s="77"/>
      <c r="D48" s="77"/>
      <c r="E48" s="74" t="e">
        <f t="shared" si="0"/>
        <v>#DIV/0!</v>
      </c>
    </row>
    <row r="49" spans="1:5" hidden="1" x14ac:dyDescent="0.25">
      <c r="A49" s="65"/>
      <c r="B49" s="13" t="s">
        <v>41</v>
      </c>
      <c r="C49" s="77"/>
      <c r="D49" s="77"/>
      <c r="E49" s="74" t="e">
        <f t="shared" si="0"/>
        <v>#DIV/0!</v>
      </c>
    </row>
    <row r="50" spans="1:5" hidden="1" x14ac:dyDescent="0.25">
      <c r="A50" s="65"/>
      <c r="B50" s="13" t="s">
        <v>42</v>
      </c>
      <c r="C50" s="77"/>
      <c r="D50" s="77"/>
      <c r="E50" s="74" t="e">
        <f t="shared" si="0"/>
        <v>#DIV/0!</v>
      </c>
    </row>
    <row r="51" spans="1:5" x14ac:dyDescent="0.25">
      <c r="A51" s="65">
        <v>4020</v>
      </c>
      <c r="B51" s="13" t="s">
        <v>43</v>
      </c>
      <c r="C51" s="73">
        <v>457.46</v>
      </c>
      <c r="D51" s="73">
        <v>300</v>
      </c>
      <c r="E51" s="74">
        <f t="shared" si="0"/>
        <v>152.48666666666665</v>
      </c>
    </row>
    <row r="52" spans="1:5" x14ac:dyDescent="0.25">
      <c r="A52" s="65">
        <v>4021</v>
      </c>
      <c r="B52" s="13" t="s">
        <v>44</v>
      </c>
      <c r="C52" s="73">
        <v>191.34</v>
      </c>
      <c r="D52" s="73">
        <v>300</v>
      </c>
      <c r="E52" s="74">
        <f t="shared" si="0"/>
        <v>63.78</v>
      </c>
    </row>
    <row r="53" spans="1:5" x14ac:dyDescent="0.25">
      <c r="A53" s="65">
        <v>4040</v>
      </c>
      <c r="B53" s="13" t="s">
        <v>45</v>
      </c>
      <c r="C53" s="73">
        <v>452</v>
      </c>
      <c r="D53" s="73">
        <v>100</v>
      </c>
      <c r="E53" s="74">
        <f t="shared" si="0"/>
        <v>451.99999999999994</v>
      </c>
    </row>
    <row r="54" spans="1:5" hidden="1" x14ac:dyDescent="0.25">
      <c r="A54" s="65">
        <v>4041</v>
      </c>
      <c r="B54" s="13" t="s">
        <v>46</v>
      </c>
      <c r="C54" s="73"/>
      <c r="D54" s="73"/>
      <c r="E54" s="74" t="e">
        <f t="shared" si="0"/>
        <v>#DIV/0!</v>
      </c>
    </row>
    <row r="55" spans="1:5" x14ac:dyDescent="0.25">
      <c r="A55" s="65">
        <v>4060</v>
      </c>
      <c r="B55" s="13" t="s">
        <v>47</v>
      </c>
      <c r="C55" s="73">
        <v>1986.58</v>
      </c>
      <c r="D55" s="73">
        <v>2000</v>
      </c>
      <c r="E55" s="74">
        <f t="shared" si="0"/>
        <v>99.329000000000008</v>
      </c>
    </row>
    <row r="56" spans="1:5" x14ac:dyDescent="0.25">
      <c r="A56" s="65">
        <v>4010</v>
      </c>
      <c r="B56" s="13" t="s">
        <v>48</v>
      </c>
      <c r="C56" s="73">
        <v>1603.08</v>
      </c>
      <c r="D56" s="73">
        <v>1050</v>
      </c>
      <c r="E56" s="74">
        <f t="shared" si="0"/>
        <v>152.67428571428573</v>
      </c>
    </row>
    <row r="57" spans="1:5" x14ac:dyDescent="0.25">
      <c r="A57" s="65">
        <v>4011</v>
      </c>
      <c r="B57" s="13" t="s">
        <v>49</v>
      </c>
      <c r="C57" s="73">
        <v>1866.6</v>
      </c>
      <c r="D57" s="73">
        <v>2250</v>
      </c>
      <c r="E57" s="74">
        <f t="shared" si="0"/>
        <v>82.96</v>
      </c>
    </row>
    <row r="58" spans="1:5" x14ac:dyDescent="0.25">
      <c r="A58" s="65">
        <v>4011</v>
      </c>
      <c r="B58" s="13" t="s">
        <v>50</v>
      </c>
      <c r="C58" s="73">
        <v>1573.98</v>
      </c>
      <c r="D58" s="73">
        <v>1600</v>
      </c>
      <c r="E58" s="74">
        <f t="shared" si="0"/>
        <v>98.373750000000001</v>
      </c>
    </row>
    <row r="59" spans="1:5" x14ac:dyDescent="0.25">
      <c r="A59" s="66">
        <v>40</v>
      </c>
      <c r="B59" s="22" t="s">
        <v>51</v>
      </c>
      <c r="C59" s="40">
        <f t="shared" ref="C59:D59" si="2">SUM(C18:C58)</f>
        <v>16658.84</v>
      </c>
      <c r="D59" s="40">
        <f t="shared" si="2"/>
        <v>15600</v>
      </c>
      <c r="E59" s="74">
        <f t="shared" si="0"/>
        <v>106.78743589743588</v>
      </c>
    </row>
    <row r="60" spans="1:5" x14ac:dyDescent="0.25">
      <c r="A60" s="65">
        <v>4110</v>
      </c>
      <c r="B60" s="13" t="s">
        <v>52</v>
      </c>
      <c r="C60" s="73">
        <v>1807.99</v>
      </c>
      <c r="D60" s="73">
        <v>1700</v>
      </c>
      <c r="E60" s="74">
        <f t="shared" si="0"/>
        <v>106.35235294117646</v>
      </c>
    </row>
    <row r="61" spans="1:5" x14ac:dyDescent="0.25">
      <c r="A61" s="65">
        <v>4111</v>
      </c>
      <c r="B61" s="13" t="s">
        <v>53</v>
      </c>
      <c r="C61" s="73">
        <v>589.16</v>
      </c>
      <c r="D61" s="73">
        <v>600</v>
      </c>
      <c r="E61" s="74">
        <f t="shared" si="0"/>
        <v>98.193333333333328</v>
      </c>
    </row>
    <row r="62" spans="1:5" x14ac:dyDescent="0.25">
      <c r="A62" s="65">
        <v>411</v>
      </c>
      <c r="B62" s="22" t="s">
        <v>54</v>
      </c>
      <c r="C62" s="73">
        <f>C60+C61</f>
        <v>2397.15</v>
      </c>
      <c r="D62" s="73">
        <f>D60+D61</f>
        <v>2300</v>
      </c>
      <c r="E62" s="74">
        <f t="shared" si="0"/>
        <v>104.22391304347826</v>
      </c>
    </row>
    <row r="63" spans="1:5" x14ac:dyDescent="0.25">
      <c r="A63" s="65">
        <v>4120</v>
      </c>
      <c r="B63" s="13" t="s">
        <v>55</v>
      </c>
      <c r="C63" s="73">
        <v>608</v>
      </c>
      <c r="D63" s="73">
        <f ca="1">E63+F63+G63+H63+I63+J63+K63+L63+M63+N63+O63+P63+Q63+R63+S63+T63+U63+V63</f>
        <v>0</v>
      </c>
      <c r="E63" s="74" t="e">
        <f ca="1">C63/D63*100</f>
        <v>#DIV/0!</v>
      </c>
    </row>
    <row r="64" spans="1:5" x14ac:dyDescent="0.25">
      <c r="A64" s="66">
        <v>412</v>
      </c>
      <c r="B64" s="22" t="s">
        <v>56</v>
      </c>
      <c r="C64" s="81">
        <f>C63</f>
        <v>608</v>
      </c>
      <c r="D64" s="75">
        <f ca="1">D63</f>
        <v>0</v>
      </c>
      <c r="E64" s="74" t="e">
        <f ca="1">C64/D64*100</f>
        <v>#DIV/0!</v>
      </c>
    </row>
    <row r="65" spans="1:5" x14ac:dyDescent="0.25">
      <c r="A65" s="65">
        <v>4130</v>
      </c>
      <c r="B65" s="13" t="s">
        <v>57</v>
      </c>
      <c r="C65" s="73">
        <v>3724</v>
      </c>
      <c r="D65" s="73">
        <v>3274</v>
      </c>
      <c r="E65" s="74">
        <f t="shared" si="0"/>
        <v>113.74465485644471</v>
      </c>
    </row>
    <row r="66" spans="1:5" x14ac:dyDescent="0.25">
      <c r="A66" s="65">
        <v>4131</v>
      </c>
      <c r="B66" s="13" t="s">
        <v>58</v>
      </c>
      <c r="C66" s="73">
        <v>585.6</v>
      </c>
      <c r="D66" s="73">
        <v>726</v>
      </c>
      <c r="E66" s="74">
        <f t="shared" si="0"/>
        <v>80.661157024793397</v>
      </c>
    </row>
    <row r="67" spans="1:5" x14ac:dyDescent="0.25">
      <c r="A67" s="66">
        <v>413</v>
      </c>
      <c r="B67" s="22" t="s">
        <v>59</v>
      </c>
      <c r="C67" s="73">
        <f>C65+C66</f>
        <v>4309.6000000000004</v>
      </c>
      <c r="D67" s="73">
        <f>D65+D66</f>
        <v>4000</v>
      </c>
      <c r="E67" s="74">
        <f t="shared" si="0"/>
        <v>107.74000000000001</v>
      </c>
    </row>
    <row r="68" spans="1:5" x14ac:dyDescent="0.25">
      <c r="A68" s="65">
        <v>4150</v>
      </c>
      <c r="B68" s="13" t="s">
        <v>60</v>
      </c>
      <c r="C68" s="73">
        <v>879.32</v>
      </c>
      <c r="D68" s="73">
        <v>1300</v>
      </c>
      <c r="E68" s="74">
        <f t="shared" si="0"/>
        <v>67.64</v>
      </c>
    </row>
    <row r="69" spans="1:5" x14ac:dyDescent="0.25">
      <c r="A69" s="66">
        <v>415</v>
      </c>
      <c r="B69" s="22" t="s">
        <v>61</v>
      </c>
      <c r="C69" s="76">
        <f>C68</f>
        <v>879.32</v>
      </c>
      <c r="D69" s="76">
        <f>D68</f>
        <v>1300</v>
      </c>
      <c r="E69" s="74">
        <f t="shared" ref="E69:E131" si="3">C69/D69*100</f>
        <v>67.64</v>
      </c>
    </row>
    <row r="70" spans="1:5" x14ac:dyDescent="0.25">
      <c r="A70" s="65">
        <v>4160</v>
      </c>
      <c r="B70" s="13" t="s">
        <v>62</v>
      </c>
      <c r="C70" s="73">
        <v>4562.43</v>
      </c>
      <c r="D70" s="73">
        <v>5100</v>
      </c>
      <c r="E70" s="74">
        <f t="shared" si="3"/>
        <v>89.459411764705891</v>
      </c>
    </row>
    <row r="71" spans="1:5" x14ac:dyDescent="0.25">
      <c r="A71" s="65">
        <v>41601</v>
      </c>
      <c r="B71" s="13" t="s">
        <v>63</v>
      </c>
      <c r="C71" s="73">
        <f>5621+1412.5</f>
        <v>7033.5</v>
      </c>
      <c r="D71" s="73">
        <v>6000</v>
      </c>
      <c r="E71" s="74">
        <f t="shared" si="3"/>
        <v>117.22499999999999</v>
      </c>
    </row>
    <row r="72" spans="1:5" x14ac:dyDescent="0.25">
      <c r="A72" s="67">
        <v>41602</v>
      </c>
      <c r="B72" s="50" t="s">
        <v>64</v>
      </c>
      <c r="C72" s="73">
        <f>10393.6+637</f>
        <v>11030.6</v>
      </c>
      <c r="D72" s="73">
        <v>12000</v>
      </c>
      <c r="E72" s="74">
        <f t="shared" si="3"/>
        <v>91.921666666666667</v>
      </c>
    </row>
    <row r="73" spans="1:5" x14ac:dyDescent="0.25">
      <c r="A73" s="67">
        <v>41603</v>
      </c>
      <c r="B73" s="50" t="s">
        <v>65</v>
      </c>
      <c r="C73" s="73">
        <f>2020.5+621.96</f>
        <v>2642.46</v>
      </c>
      <c r="D73" s="73">
        <v>3000</v>
      </c>
      <c r="E73" s="74">
        <f t="shared" si="3"/>
        <v>88.082000000000008</v>
      </c>
    </row>
    <row r="74" spans="1:5" x14ac:dyDescent="0.25">
      <c r="A74" s="65">
        <v>41604</v>
      </c>
      <c r="B74" s="13" t="s">
        <v>66</v>
      </c>
      <c r="C74" s="73">
        <f>3981.86-601.6</f>
        <v>3380.26</v>
      </c>
      <c r="D74" s="73">
        <v>4900</v>
      </c>
      <c r="E74" s="74">
        <f t="shared" si="3"/>
        <v>68.984897959183684</v>
      </c>
    </row>
    <row r="75" spans="1:5" hidden="1" x14ac:dyDescent="0.25">
      <c r="A75" s="66">
        <v>416</v>
      </c>
      <c r="B75" s="22" t="s">
        <v>67</v>
      </c>
      <c r="C75" s="73">
        <f>SUM(C70:C74)</f>
        <v>28649.25</v>
      </c>
      <c r="D75" s="73">
        <f>SUM(D70:D74)</f>
        <v>31000</v>
      </c>
      <c r="E75" s="74">
        <f t="shared" si="3"/>
        <v>92.416935483870972</v>
      </c>
    </row>
    <row r="76" spans="1:5" hidden="1" x14ac:dyDescent="0.25">
      <c r="A76" s="65">
        <v>4170</v>
      </c>
      <c r="B76" s="13" t="s">
        <v>68</v>
      </c>
      <c r="C76" s="73">
        <f ca="1">D76+E76+F76+G76+H76+I76+J76+K76+L76+M76+N76+O76+P76+Q76+R76+S76+T76+U76</f>
        <v>0</v>
      </c>
      <c r="D76" s="73">
        <f ca="1">E76+F76+G76+H76+I76+J76+K76+L76+M76+N76+O76+P76+Q76+R76+S76+T76+U76+V76</f>
        <v>0</v>
      </c>
      <c r="E76" s="74">
        <f t="shared" ca="1" si="3"/>
        <v>100.03076923076924</v>
      </c>
    </row>
    <row r="77" spans="1:5" hidden="1" x14ac:dyDescent="0.25">
      <c r="A77" s="65">
        <v>4171</v>
      </c>
      <c r="B77" s="13" t="s">
        <v>69</v>
      </c>
      <c r="C77" s="75"/>
      <c r="D77" s="75"/>
      <c r="E77" s="74" t="e">
        <f t="shared" si="3"/>
        <v>#DIV/0!</v>
      </c>
    </row>
    <row r="78" spans="1:5" hidden="1" x14ac:dyDescent="0.25">
      <c r="A78" s="66">
        <v>417</v>
      </c>
      <c r="B78" s="22" t="s">
        <v>70</v>
      </c>
      <c r="C78" s="73">
        <f ca="1">C76</f>
        <v>0</v>
      </c>
      <c r="D78" s="73">
        <f ca="1">D76</f>
        <v>0</v>
      </c>
      <c r="E78" s="74">
        <f t="shared" ca="1" si="3"/>
        <v>100.03076923076924</v>
      </c>
    </row>
    <row r="79" spans="1:5" x14ac:dyDescent="0.25">
      <c r="A79" s="67">
        <v>4190</v>
      </c>
      <c r="B79" s="50" t="s">
        <v>118</v>
      </c>
      <c r="C79" s="73">
        <f>65020*20%</f>
        <v>13004</v>
      </c>
      <c r="D79" s="73">
        <v>11960</v>
      </c>
      <c r="E79" s="74">
        <f t="shared" si="3"/>
        <v>108.72909698996655</v>
      </c>
    </row>
    <row r="80" spans="1:5" hidden="1" x14ac:dyDescent="0.25">
      <c r="A80" s="67">
        <v>41900</v>
      </c>
      <c r="B80" s="50" t="s">
        <v>72</v>
      </c>
      <c r="C80" s="73">
        <f ca="1">D80+E80+F80+G80+H80+I80+J80+K80+L80+M80+N80+O80+P80+Q80+R80+S80+T80+U80</f>
        <v>0</v>
      </c>
      <c r="D80" s="73">
        <f ca="1">E80+F80+G80+H80+I80+J80+K80+L80+M80+N80+O80+P80+Q80+R80+S80+T80+U80+V80</f>
        <v>0</v>
      </c>
      <c r="E80" s="74">
        <f t="shared" ca="1" si="3"/>
        <v>100.03076923076924</v>
      </c>
    </row>
    <row r="81" spans="1:5" x14ac:dyDescent="0.25">
      <c r="A81" s="67">
        <v>4191</v>
      </c>
      <c r="B81" s="50" t="s">
        <v>73</v>
      </c>
      <c r="C81" s="73">
        <v>960</v>
      </c>
      <c r="D81" s="73">
        <v>200</v>
      </c>
      <c r="E81" s="74">
        <f t="shared" si="3"/>
        <v>480</v>
      </c>
    </row>
    <row r="82" spans="1:5" x14ac:dyDescent="0.25">
      <c r="A82" s="67">
        <v>4192</v>
      </c>
      <c r="B82" s="50" t="s">
        <v>74</v>
      </c>
      <c r="C82" s="73">
        <v>520.88</v>
      </c>
      <c r="D82" s="73">
        <v>100</v>
      </c>
      <c r="E82" s="74">
        <f t="shared" si="3"/>
        <v>520.88</v>
      </c>
    </row>
    <row r="83" spans="1:5" x14ac:dyDescent="0.25">
      <c r="A83" s="67">
        <v>4193</v>
      </c>
      <c r="B83" s="50" t="s">
        <v>75</v>
      </c>
      <c r="C83" s="73">
        <v>5671.94</v>
      </c>
      <c r="D83" s="73">
        <v>5000</v>
      </c>
      <c r="E83" s="74">
        <f t="shared" si="3"/>
        <v>113.4388</v>
      </c>
    </row>
    <row r="84" spans="1:5" x14ac:dyDescent="0.25">
      <c r="A84" s="67">
        <v>4194</v>
      </c>
      <c r="B84" s="50" t="s">
        <v>76</v>
      </c>
      <c r="C84" s="73">
        <v>1517.25</v>
      </c>
      <c r="D84" s="73">
        <v>800</v>
      </c>
      <c r="E84" s="74">
        <f t="shared" si="3"/>
        <v>189.65625</v>
      </c>
    </row>
    <row r="85" spans="1:5" x14ac:dyDescent="0.25">
      <c r="A85" s="67">
        <v>4195</v>
      </c>
      <c r="B85" s="50" t="s">
        <v>77</v>
      </c>
      <c r="C85" s="73">
        <v>755</v>
      </c>
      <c r="D85" s="73">
        <v>200</v>
      </c>
      <c r="E85" s="74">
        <f t="shared" si="3"/>
        <v>377.5</v>
      </c>
    </row>
    <row r="86" spans="1:5" x14ac:dyDescent="0.25">
      <c r="A86" s="67">
        <v>4196</v>
      </c>
      <c r="B86" s="50" t="s">
        <v>78</v>
      </c>
      <c r="C86" s="73">
        <v>50</v>
      </c>
      <c r="D86" s="73">
        <v>50</v>
      </c>
      <c r="E86" s="74">
        <f t="shared" si="3"/>
        <v>100</v>
      </c>
    </row>
    <row r="87" spans="1:5" hidden="1" x14ac:dyDescent="0.25">
      <c r="A87" s="67">
        <v>4197</v>
      </c>
      <c r="B87" s="50" t="s">
        <v>64</v>
      </c>
      <c r="C87" s="73">
        <f t="shared" ref="C87:D112" ca="1" si="4">D87+E87+F87+G87+H87+I87+J87+K87+L87+M87+N87+O87+P87+Q87+R87+S87+T87+U87</f>
        <v>0</v>
      </c>
      <c r="D87" s="73">
        <f t="shared" ca="1" si="4"/>
        <v>0</v>
      </c>
      <c r="E87" s="74">
        <f t="shared" ca="1" si="3"/>
        <v>100.03076923076924</v>
      </c>
    </row>
    <row r="88" spans="1:5" hidden="1" x14ac:dyDescent="0.25">
      <c r="A88" s="67">
        <v>41980</v>
      </c>
      <c r="B88" s="50" t="s">
        <v>65</v>
      </c>
      <c r="C88" s="73">
        <f t="shared" ca="1" si="4"/>
        <v>0</v>
      </c>
      <c r="D88" s="73">
        <f t="shared" ca="1" si="4"/>
        <v>0</v>
      </c>
      <c r="E88" s="74">
        <f t="shared" ca="1" si="3"/>
        <v>100.03076923076924</v>
      </c>
    </row>
    <row r="89" spans="1:5" hidden="1" x14ac:dyDescent="0.25">
      <c r="A89" s="67">
        <v>4198</v>
      </c>
      <c r="B89" s="50" t="s">
        <v>79</v>
      </c>
      <c r="C89" s="73">
        <f t="shared" ca="1" si="4"/>
        <v>0</v>
      </c>
      <c r="D89" s="73">
        <f t="shared" ca="1" si="4"/>
        <v>0</v>
      </c>
      <c r="E89" s="74">
        <f t="shared" ca="1" si="3"/>
        <v>100.03076923076924</v>
      </c>
    </row>
    <row r="90" spans="1:5" hidden="1" x14ac:dyDescent="0.25">
      <c r="A90" s="67">
        <v>4199</v>
      </c>
      <c r="B90" s="50" t="s">
        <v>80</v>
      </c>
      <c r="C90" s="73">
        <f t="shared" ca="1" si="4"/>
        <v>0</v>
      </c>
      <c r="D90" s="73">
        <f t="shared" ca="1" si="4"/>
        <v>0</v>
      </c>
      <c r="E90" s="74">
        <f t="shared" ca="1" si="3"/>
        <v>100.03076923076924</v>
      </c>
    </row>
    <row r="91" spans="1:5" hidden="1" x14ac:dyDescent="0.25">
      <c r="A91" s="67">
        <v>41991</v>
      </c>
      <c r="B91" s="50" t="s">
        <v>81</v>
      </c>
      <c r="C91" s="73">
        <f t="shared" ca="1" si="4"/>
        <v>0</v>
      </c>
      <c r="D91" s="73">
        <f t="shared" ca="1" si="4"/>
        <v>0</v>
      </c>
      <c r="E91" s="74">
        <f t="shared" ca="1" si="3"/>
        <v>100.03076923076924</v>
      </c>
    </row>
    <row r="92" spans="1:5" x14ac:dyDescent="0.25">
      <c r="A92" s="67">
        <v>419910</v>
      </c>
      <c r="B92" s="50" t="s">
        <v>82</v>
      </c>
      <c r="C92" s="73">
        <v>200</v>
      </c>
      <c r="D92" s="73">
        <v>200</v>
      </c>
      <c r="E92" s="74">
        <f t="shared" si="3"/>
        <v>100</v>
      </c>
    </row>
    <row r="93" spans="1:5" hidden="1" x14ac:dyDescent="0.25">
      <c r="A93" s="67">
        <v>41992</v>
      </c>
      <c r="B93" s="50" t="s">
        <v>83</v>
      </c>
      <c r="C93" s="73">
        <v>0</v>
      </c>
      <c r="D93" s="73">
        <v>0</v>
      </c>
      <c r="E93" s="74" t="e">
        <f t="shared" si="3"/>
        <v>#DIV/0!</v>
      </c>
    </row>
    <row r="94" spans="1:5" x14ac:dyDescent="0.25">
      <c r="A94" s="67">
        <v>41993</v>
      </c>
      <c r="B94" s="50" t="s">
        <v>84</v>
      </c>
      <c r="C94" s="73">
        <v>2800.43</v>
      </c>
      <c r="D94" s="73">
        <v>1250</v>
      </c>
      <c r="E94" s="74">
        <f t="shared" si="3"/>
        <v>224.03439999999998</v>
      </c>
    </row>
    <row r="95" spans="1:5" x14ac:dyDescent="0.25">
      <c r="A95" s="67">
        <v>41994</v>
      </c>
      <c r="B95" s="50" t="s">
        <v>85</v>
      </c>
      <c r="C95" s="73">
        <v>2280</v>
      </c>
      <c r="D95" s="73">
        <v>2400</v>
      </c>
      <c r="E95" s="74">
        <f t="shared" si="3"/>
        <v>95</v>
      </c>
    </row>
    <row r="96" spans="1:5" x14ac:dyDescent="0.25">
      <c r="A96" s="67">
        <v>41995</v>
      </c>
      <c r="B96" s="50" t="s">
        <v>86</v>
      </c>
      <c r="C96" s="73">
        <v>2661.11</v>
      </c>
      <c r="D96" s="73">
        <v>2700</v>
      </c>
      <c r="E96" s="74">
        <f t="shared" si="3"/>
        <v>98.559629629629626</v>
      </c>
    </row>
    <row r="97" spans="1:5" hidden="1" x14ac:dyDescent="0.25">
      <c r="A97" s="67">
        <v>41996</v>
      </c>
      <c r="B97" s="50" t="s">
        <v>87</v>
      </c>
      <c r="C97" s="73">
        <f t="shared" ca="1" si="4"/>
        <v>0</v>
      </c>
      <c r="D97" s="73">
        <f t="shared" ca="1" si="4"/>
        <v>0</v>
      </c>
      <c r="E97" s="74">
        <f t="shared" ca="1" si="3"/>
        <v>100.03076923076924</v>
      </c>
    </row>
    <row r="98" spans="1:5" x14ac:dyDescent="0.25">
      <c r="A98" s="65">
        <v>41996</v>
      </c>
      <c r="B98" s="13" t="s">
        <v>88</v>
      </c>
      <c r="C98" s="73">
        <v>0</v>
      </c>
      <c r="D98" s="73">
        <v>5000</v>
      </c>
      <c r="E98" s="74">
        <f t="shared" si="3"/>
        <v>0</v>
      </c>
    </row>
    <row r="99" spans="1:5" x14ac:dyDescent="0.25">
      <c r="A99" s="65">
        <v>41996</v>
      </c>
      <c r="B99" s="13" t="s">
        <v>89</v>
      </c>
      <c r="C99" s="73">
        <v>6112.77</v>
      </c>
      <c r="D99" s="73">
        <v>3700</v>
      </c>
      <c r="E99" s="74">
        <f t="shared" si="3"/>
        <v>165.21</v>
      </c>
    </row>
    <row r="100" spans="1:5" x14ac:dyDescent="0.25">
      <c r="A100" s="65">
        <v>41997</v>
      </c>
      <c r="B100" s="13" t="s">
        <v>90</v>
      </c>
      <c r="C100" s="73">
        <v>363.12</v>
      </c>
      <c r="D100" s="73">
        <v>200</v>
      </c>
      <c r="E100" s="74">
        <f t="shared" si="3"/>
        <v>181.56</v>
      </c>
    </row>
    <row r="101" spans="1:5" ht="24" x14ac:dyDescent="0.25">
      <c r="A101" s="65">
        <v>41998</v>
      </c>
      <c r="B101" s="80" t="s">
        <v>120</v>
      </c>
      <c r="C101" s="73">
        <f>305+2376.5+600+658.88+202+175</f>
        <v>4317.38</v>
      </c>
      <c r="D101" s="73">
        <v>4200</v>
      </c>
      <c r="E101" s="74">
        <f t="shared" si="3"/>
        <v>102.79476190476191</v>
      </c>
    </row>
    <row r="102" spans="1:5" x14ac:dyDescent="0.25">
      <c r="A102" s="65">
        <v>41999</v>
      </c>
      <c r="B102" s="13" t="s">
        <v>92</v>
      </c>
      <c r="C102" s="73">
        <f>1823.18</f>
        <v>1823.18</v>
      </c>
      <c r="D102" s="73">
        <v>3250</v>
      </c>
      <c r="E102" s="74">
        <f t="shared" si="3"/>
        <v>56.097846153846156</v>
      </c>
    </row>
    <row r="103" spans="1:5" hidden="1" x14ac:dyDescent="0.25">
      <c r="A103" s="65">
        <v>419991</v>
      </c>
      <c r="B103" s="13" t="s">
        <v>93</v>
      </c>
      <c r="C103" s="73">
        <f t="shared" ca="1" si="4"/>
        <v>0</v>
      </c>
      <c r="D103" s="73">
        <f t="shared" ca="1" si="4"/>
        <v>0</v>
      </c>
      <c r="E103" s="74">
        <f t="shared" ca="1" si="3"/>
        <v>100.03076923076924</v>
      </c>
    </row>
    <row r="104" spans="1:5" x14ac:dyDescent="0.25">
      <c r="A104" s="65">
        <v>4199910</v>
      </c>
      <c r="B104" s="56" t="s">
        <v>94</v>
      </c>
      <c r="C104" s="73">
        <v>0</v>
      </c>
      <c r="D104" s="73">
        <v>24000</v>
      </c>
      <c r="E104" s="74">
        <f t="shared" si="3"/>
        <v>0</v>
      </c>
    </row>
    <row r="105" spans="1:5" hidden="1" x14ac:dyDescent="0.25">
      <c r="A105" s="65">
        <v>419992</v>
      </c>
      <c r="B105" s="13" t="s">
        <v>83</v>
      </c>
      <c r="C105" s="73">
        <f t="shared" ca="1" si="4"/>
        <v>0</v>
      </c>
      <c r="D105" s="73">
        <f t="shared" ca="1" si="4"/>
        <v>0</v>
      </c>
      <c r="E105" s="74">
        <f t="shared" ca="1" si="3"/>
        <v>100.03076923076924</v>
      </c>
    </row>
    <row r="106" spans="1:5" hidden="1" x14ac:dyDescent="0.25">
      <c r="A106" s="65">
        <v>419993</v>
      </c>
      <c r="B106" s="13" t="s">
        <v>95</v>
      </c>
      <c r="C106" s="73">
        <f t="shared" ca="1" si="4"/>
        <v>0</v>
      </c>
      <c r="D106" s="73">
        <f t="shared" ca="1" si="4"/>
        <v>0</v>
      </c>
      <c r="E106" s="74">
        <f t="shared" ca="1" si="3"/>
        <v>100.03076923076924</v>
      </c>
    </row>
    <row r="107" spans="1:5" x14ac:dyDescent="0.25">
      <c r="A107" s="65">
        <v>419994</v>
      </c>
      <c r="B107" s="13" t="s">
        <v>96</v>
      </c>
      <c r="C107" s="73">
        <v>601.6</v>
      </c>
      <c r="D107" s="73">
        <v>1000</v>
      </c>
      <c r="E107" s="74">
        <f t="shared" si="3"/>
        <v>60.160000000000004</v>
      </c>
    </row>
    <row r="108" spans="1:5" x14ac:dyDescent="0.25">
      <c r="A108" s="65">
        <v>419995</v>
      </c>
      <c r="B108" s="13" t="s">
        <v>97</v>
      </c>
      <c r="C108" s="73">
        <v>2000</v>
      </c>
      <c r="D108" s="73">
        <v>2000</v>
      </c>
      <c r="E108" s="74">
        <f t="shared" si="3"/>
        <v>100</v>
      </c>
    </row>
    <row r="109" spans="1:5" hidden="1" x14ac:dyDescent="0.25">
      <c r="A109" s="65">
        <v>419996</v>
      </c>
      <c r="B109" s="13" t="s">
        <v>98</v>
      </c>
      <c r="C109" s="73">
        <f t="shared" ca="1" si="4"/>
        <v>0</v>
      </c>
      <c r="D109" s="73">
        <f t="shared" ca="1" si="4"/>
        <v>0</v>
      </c>
      <c r="E109" s="74">
        <f t="shared" ca="1" si="3"/>
        <v>100.03076923076924</v>
      </c>
    </row>
    <row r="110" spans="1:5" hidden="1" x14ac:dyDescent="0.25">
      <c r="A110" s="65">
        <v>419997</v>
      </c>
      <c r="B110" s="13" t="s">
        <v>99</v>
      </c>
      <c r="C110" s="73">
        <f t="shared" ca="1" si="4"/>
        <v>0</v>
      </c>
      <c r="D110" s="73">
        <f t="shared" ca="1" si="4"/>
        <v>0</v>
      </c>
      <c r="E110" s="74">
        <f t="shared" ca="1" si="3"/>
        <v>100.03076923076924</v>
      </c>
    </row>
    <row r="111" spans="1:5" hidden="1" x14ac:dyDescent="0.25">
      <c r="A111" s="65">
        <v>4199977</v>
      </c>
      <c r="B111" s="13" t="s">
        <v>92</v>
      </c>
      <c r="C111" s="77"/>
      <c r="D111" s="77"/>
      <c r="E111" s="74" t="e">
        <f t="shared" si="3"/>
        <v>#DIV/0!</v>
      </c>
    </row>
    <row r="112" spans="1:5" hidden="1" x14ac:dyDescent="0.25">
      <c r="A112" s="65">
        <v>419998</v>
      </c>
      <c r="B112" s="13" t="s">
        <v>92</v>
      </c>
      <c r="C112" s="73">
        <f t="shared" ca="1" si="4"/>
        <v>0</v>
      </c>
      <c r="D112" s="73">
        <f t="shared" ca="1" si="4"/>
        <v>0</v>
      </c>
      <c r="E112" s="74">
        <f t="shared" ca="1" si="3"/>
        <v>100.03076923076924</v>
      </c>
    </row>
    <row r="113" spans="1:5" x14ac:dyDescent="0.25">
      <c r="A113" s="65">
        <v>419999</v>
      </c>
      <c r="B113" s="13" t="s">
        <v>100</v>
      </c>
      <c r="C113" s="73">
        <f>21464.03+5127-960-800+2.72</f>
        <v>24833.75</v>
      </c>
      <c r="D113" s="73">
        <v>25134.84</v>
      </c>
      <c r="E113" s="74">
        <f>C113/D113*100</f>
        <v>98.802100988110524</v>
      </c>
    </row>
    <row r="114" spans="1:5" x14ac:dyDescent="0.25">
      <c r="A114" s="68">
        <v>419</v>
      </c>
      <c r="B114" s="58" t="s">
        <v>101</v>
      </c>
      <c r="C114" s="40">
        <v>99918.94</v>
      </c>
      <c r="D114" s="40">
        <f t="shared" ref="D114" ca="1" si="5">SUM(D79:D113)</f>
        <v>93344.84</v>
      </c>
      <c r="E114" s="74">
        <v>107.1</v>
      </c>
    </row>
    <row r="115" spans="1:5" x14ac:dyDescent="0.25">
      <c r="A115" s="66">
        <v>41</v>
      </c>
      <c r="B115" s="22" t="s">
        <v>102</v>
      </c>
      <c r="C115" s="76">
        <f>C64+C67+C69+C114</f>
        <v>105715.86</v>
      </c>
      <c r="D115" s="76">
        <f t="shared" ref="D115" ca="1" si="6">D62+D64+D67+D69+D75+D78+D114</f>
        <v>131944.84</v>
      </c>
      <c r="E115" s="74">
        <v>80.2</v>
      </c>
    </row>
    <row r="116" spans="1:5" x14ac:dyDescent="0.25">
      <c r="A116" s="66">
        <v>43</v>
      </c>
      <c r="B116" s="22" t="s">
        <v>103</v>
      </c>
      <c r="C116" s="76">
        <v>0</v>
      </c>
      <c r="D116" s="76">
        <f>Tabela13[[#This Row],[PLAN ŠOLA ZDRAVJA 2019]]</f>
        <v>333</v>
      </c>
      <c r="E116" s="74">
        <v>0</v>
      </c>
    </row>
    <row r="117" spans="1:5" x14ac:dyDescent="0.25">
      <c r="A117" s="66">
        <v>4700</v>
      </c>
      <c r="B117" s="22" t="s">
        <v>104</v>
      </c>
      <c r="C117" s="73">
        <v>19473.7</v>
      </c>
      <c r="D117" s="73">
        <v>22300</v>
      </c>
      <c r="E117" s="74">
        <f t="shared" si="3"/>
        <v>87.326008968609869</v>
      </c>
    </row>
    <row r="118" spans="1:5" x14ac:dyDescent="0.25">
      <c r="A118" s="67">
        <v>4730</v>
      </c>
      <c r="B118" s="50" t="s">
        <v>105</v>
      </c>
      <c r="C118" s="73">
        <v>1110.78</v>
      </c>
      <c r="D118" s="73">
        <v>1500</v>
      </c>
      <c r="E118" s="74">
        <f>C118/D118*100</f>
        <v>74.051999999999992</v>
      </c>
    </row>
    <row r="119" spans="1:5" x14ac:dyDescent="0.25">
      <c r="A119" s="67">
        <v>4732</v>
      </c>
      <c r="B119" s="50" t="s">
        <v>106</v>
      </c>
      <c r="C119" s="73">
        <f>2418.86-119.9</f>
        <v>2298.96</v>
      </c>
      <c r="D119" s="73">
        <v>1500</v>
      </c>
      <c r="E119" s="74">
        <v>153.26</v>
      </c>
    </row>
    <row r="120" spans="1:5" x14ac:dyDescent="0.25">
      <c r="A120" s="67">
        <v>4733</v>
      </c>
      <c r="B120" s="50" t="s">
        <v>107</v>
      </c>
      <c r="C120" s="73">
        <v>1161.48</v>
      </c>
      <c r="D120" s="73">
        <v>1000</v>
      </c>
      <c r="E120" s="74">
        <f t="shared" si="3"/>
        <v>116.14800000000001</v>
      </c>
    </row>
    <row r="121" spans="1:5" x14ac:dyDescent="0.25">
      <c r="A121" s="66">
        <v>473</v>
      </c>
      <c r="B121" s="22" t="s">
        <v>108</v>
      </c>
      <c r="C121" s="73">
        <f>SUM(C118:C120)</f>
        <v>4571.2199999999993</v>
      </c>
      <c r="D121" s="73">
        <v>4000</v>
      </c>
      <c r="E121" s="74">
        <f t="shared" si="3"/>
        <v>114.28049999999999</v>
      </c>
    </row>
    <row r="122" spans="1:5" x14ac:dyDescent="0.25">
      <c r="A122" s="66">
        <v>474</v>
      </c>
      <c r="B122" s="22" t="s">
        <v>109</v>
      </c>
      <c r="C122" s="73">
        <v>3061.86</v>
      </c>
      <c r="D122" s="73">
        <v>3700</v>
      </c>
      <c r="E122" s="74">
        <f t="shared" si="3"/>
        <v>82.75297297297297</v>
      </c>
    </row>
    <row r="123" spans="1:5" x14ac:dyDescent="0.25">
      <c r="A123" s="66">
        <v>47</v>
      </c>
      <c r="B123" s="22" t="s">
        <v>110</v>
      </c>
      <c r="C123" s="26">
        <f t="shared" ref="C123:D123" si="7">C117+C121+C122</f>
        <v>27106.78</v>
      </c>
      <c r="D123" s="26">
        <f t="shared" si="7"/>
        <v>30000</v>
      </c>
      <c r="E123" s="74">
        <f t="shared" si="3"/>
        <v>90.355933333333326</v>
      </c>
    </row>
    <row r="124" spans="1:5" hidden="1" x14ac:dyDescent="0.25">
      <c r="A124" s="65">
        <v>48</v>
      </c>
      <c r="B124" s="13" t="s">
        <v>111</v>
      </c>
      <c r="C124" s="73">
        <f ca="1">D124+E124+F124+G124+H124+I124+J124+K124+L124+M124+N124+O124+P124+Q124+R124+S124+T124</f>
        <v>0</v>
      </c>
      <c r="D124" s="73">
        <f ca="1">E124+F124+G124+H124+I124+J124+K124+L124+M124+N124+O124+P124+Q124+R124+S124+T124+U124</f>
        <v>0</v>
      </c>
      <c r="E124" s="74">
        <f t="shared" ca="1" si="3"/>
        <v>100.03076923076924</v>
      </c>
    </row>
    <row r="125" spans="1:5" hidden="1" x14ac:dyDescent="0.25">
      <c r="A125" s="65"/>
      <c r="B125" s="13"/>
      <c r="C125" s="75"/>
      <c r="D125" s="75"/>
      <c r="E125" s="74" t="e">
        <f t="shared" si="3"/>
        <v>#DIV/0!</v>
      </c>
    </row>
    <row r="126" spans="1:5" hidden="1" x14ac:dyDescent="0.25">
      <c r="A126" s="65"/>
      <c r="B126" s="13"/>
      <c r="C126" s="75"/>
      <c r="D126" s="75"/>
      <c r="E126" s="74" t="e">
        <f t="shared" si="3"/>
        <v>#DIV/0!</v>
      </c>
    </row>
    <row r="127" spans="1:5" hidden="1" x14ac:dyDescent="0.25">
      <c r="A127" s="65"/>
      <c r="B127" s="13"/>
      <c r="C127" s="75"/>
      <c r="D127" s="75"/>
      <c r="E127" s="74" t="e">
        <f t="shared" si="3"/>
        <v>#DIV/0!</v>
      </c>
    </row>
    <row r="128" spans="1:5" hidden="1" x14ac:dyDescent="0.25">
      <c r="A128" s="65"/>
      <c r="B128" s="13"/>
      <c r="C128" s="75"/>
      <c r="D128" s="75"/>
      <c r="E128" s="74" t="e">
        <f t="shared" si="3"/>
        <v>#DIV/0!</v>
      </c>
    </row>
    <row r="129" spans="1:5" hidden="1" x14ac:dyDescent="0.25">
      <c r="A129" s="65"/>
      <c r="B129" s="13"/>
      <c r="C129" s="75"/>
      <c r="D129" s="75"/>
      <c r="E129" s="74" t="e">
        <f t="shared" si="3"/>
        <v>#DIV/0!</v>
      </c>
    </row>
    <row r="130" spans="1:5" hidden="1" x14ac:dyDescent="0.25">
      <c r="A130" s="65"/>
      <c r="B130" s="13"/>
      <c r="C130" s="75"/>
      <c r="D130" s="75"/>
      <c r="E130" s="74" t="e">
        <f t="shared" si="3"/>
        <v>#DIV/0!</v>
      </c>
    </row>
    <row r="131" spans="1:5" hidden="1" x14ac:dyDescent="0.25">
      <c r="A131" s="65"/>
      <c r="B131" s="13"/>
      <c r="C131" s="75"/>
      <c r="D131" s="75"/>
      <c r="E131" s="74" t="e">
        <f t="shared" si="3"/>
        <v>#DIV/0!</v>
      </c>
    </row>
    <row r="132" spans="1:5" x14ac:dyDescent="0.25">
      <c r="A132" s="66">
        <v>48</v>
      </c>
      <c r="B132" s="22" t="s">
        <v>112</v>
      </c>
      <c r="C132" s="73">
        <v>45.2</v>
      </c>
      <c r="D132" s="73">
        <f>E132+F132+G132+H132+I132+J132+K132+L132+M132+N132+O132+P132+Q132+R132+S132+T132+U132</f>
        <v>0</v>
      </c>
      <c r="E132" s="74">
        <v>0</v>
      </c>
    </row>
    <row r="133" spans="1:5" x14ac:dyDescent="0.25">
      <c r="A133" s="66">
        <v>4</v>
      </c>
      <c r="B133" s="22" t="s">
        <v>113</v>
      </c>
      <c r="C133" s="75">
        <f>C59+C64+C67+C69+C70+C71+C72+C73+C74+C79+C81+C82+C83+C84+C86+C85+C92+C94+C95+C96+C99+C100+C101+C102+C107+C108+C113+C123+C132</f>
        <v>148729.40000000002</v>
      </c>
      <c r="D133" s="75">
        <f ca="1">D16+D17+D59+D115+D116+D123+D132</f>
        <v>193444.84</v>
      </c>
      <c r="E133" s="74">
        <v>76.900000000000006</v>
      </c>
    </row>
    <row r="134" spans="1:5" x14ac:dyDescent="0.25">
      <c r="A134" s="65"/>
      <c r="B134" s="22" t="s">
        <v>114</v>
      </c>
      <c r="C134" s="40">
        <f>C13-C133-C17</f>
        <v>236.31999999998152</v>
      </c>
      <c r="D134" s="40">
        <f ca="1">D13-D133</f>
        <v>955.16000000000349</v>
      </c>
      <c r="E134" s="74">
        <v>24.8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S145"/>
  <sheetViews>
    <sheetView tabSelected="1" topLeftCell="A97" workbookViewId="0">
      <selection activeCell="A145" sqref="A145"/>
    </sheetView>
  </sheetViews>
  <sheetFormatPr defaultRowHeight="15" x14ac:dyDescent="0.25"/>
  <cols>
    <col min="1" max="1" width="34.140625" customWidth="1"/>
    <col min="2" max="3" width="10.7109375" bestFit="1" customWidth="1"/>
    <col min="4" max="4" width="5.85546875" customWidth="1"/>
    <col min="5" max="5" width="10.140625" customWidth="1"/>
    <col min="6" max="6" width="8.7109375" customWidth="1"/>
    <col min="7" max="7" width="5.85546875" customWidth="1"/>
  </cols>
  <sheetData>
    <row r="1" spans="1:12" x14ac:dyDescent="0.25">
      <c r="A1" s="133"/>
      <c r="B1" s="133"/>
      <c r="C1" s="133"/>
      <c r="D1" s="133"/>
      <c r="E1" s="133"/>
      <c r="F1" s="132"/>
    </row>
    <row r="2" spans="1:12" x14ac:dyDescent="0.25">
      <c r="A2" s="132"/>
      <c r="B2" s="132"/>
      <c r="C2" s="132"/>
      <c r="D2" s="132"/>
      <c r="E2" s="132"/>
      <c r="F2" s="132"/>
    </row>
    <row r="3" spans="1:12" x14ac:dyDescent="0.25">
      <c r="A3" s="150" t="s">
        <v>183</v>
      </c>
      <c r="B3" s="150"/>
      <c r="C3" s="150"/>
      <c r="D3" s="150"/>
      <c r="E3" s="150"/>
      <c r="F3" s="150"/>
      <c r="G3" s="150"/>
      <c r="H3" s="151"/>
    </row>
    <row r="4" spans="1:12" ht="76.5" x14ac:dyDescent="0.25">
      <c r="A4" s="146" t="s">
        <v>143</v>
      </c>
      <c r="B4" s="146" t="s">
        <v>166</v>
      </c>
      <c r="C4" s="147" t="s">
        <v>164</v>
      </c>
      <c r="D4" s="149" t="s">
        <v>117</v>
      </c>
      <c r="E4" s="146" t="s">
        <v>167</v>
      </c>
      <c r="F4" s="148" t="s">
        <v>165</v>
      </c>
      <c r="G4" s="149" t="s">
        <v>117</v>
      </c>
    </row>
    <row r="5" spans="1:12" ht="16.5" x14ac:dyDescent="0.3">
      <c r="A5" s="90" t="s">
        <v>2</v>
      </c>
      <c r="B5" s="90"/>
      <c r="C5" s="118"/>
      <c r="D5" s="91"/>
      <c r="E5" s="134"/>
      <c r="F5" s="135"/>
      <c r="G5" s="134"/>
    </row>
    <row r="6" spans="1:12" x14ac:dyDescent="0.25">
      <c r="A6" s="92" t="s">
        <v>168</v>
      </c>
      <c r="B6" s="99">
        <v>4133.76</v>
      </c>
      <c r="C6" s="119">
        <v>0</v>
      </c>
      <c r="D6" s="100">
        <v>0</v>
      </c>
      <c r="E6" s="136">
        <v>2490</v>
      </c>
      <c r="F6" s="137">
        <v>0</v>
      </c>
      <c r="G6" s="100">
        <v>0</v>
      </c>
    </row>
    <row r="7" spans="1:12" x14ac:dyDescent="0.25">
      <c r="A7" s="92" t="s">
        <v>4</v>
      </c>
      <c r="B7" s="99">
        <v>65020</v>
      </c>
      <c r="C7" s="119">
        <v>65020</v>
      </c>
      <c r="D7" s="100">
        <f>B7/C7*100</f>
        <v>100</v>
      </c>
      <c r="E7" s="136">
        <v>78900</v>
      </c>
      <c r="F7" s="137">
        <v>78900</v>
      </c>
      <c r="G7" s="100">
        <f>F7/E7*100</f>
        <v>100</v>
      </c>
    </row>
    <row r="8" spans="1:12" x14ac:dyDescent="0.25">
      <c r="A8" s="92" t="s">
        <v>5</v>
      </c>
      <c r="B8" s="99">
        <v>54509.01</v>
      </c>
      <c r="C8" s="119">
        <v>0</v>
      </c>
      <c r="D8" s="100">
        <v>0</v>
      </c>
      <c r="E8" s="143">
        <v>66547.490000000005</v>
      </c>
      <c r="F8" s="137">
        <v>0</v>
      </c>
      <c r="G8" s="100">
        <v>0</v>
      </c>
      <c r="H8" s="144"/>
      <c r="I8" s="144"/>
      <c r="J8" s="144"/>
      <c r="K8" s="144"/>
      <c r="L8" s="144"/>
    </row>
    <row r="9" spans="1:12" ht="27" x14ac:dyDescent="0.25">
      <c r="A9" s="95" t="s">
        <v>142</v>
      </c>
      <c r="B9" s="99">
        <f>6470+6600.67+574+1013.2</f>
        <v>14657.87</v>
      </c>
      <c r="C9" s="119">
        <v>0</v>
      </c>
      <c r="D9" s="100">
        <f>C9/B9*100</f>
        <v>0</v>
      </c>
      <c r="E9" s="143">
        <f>4189.92+5280+1482.6+2372.21+225-201.64-22.57</f>
        <v>13325.52</v>
      </c>
      <c r="F9" s="137">
        <v>0</v>
      </c>
      <c r="G9" s="100">
        <v>0</v>
      </c>
    </row>
    <row r="10" spans="1:12" x14ac:dyDescent="0.25">
      <c r="A10" s="92" t="s">
        <v>7</v>
      </c>
      <c r="B10" s="99">
        <v>200</v>
      </c>
      <c r="C10" s="119">
        <v>0</v>
      </c>
      <c r="D10" s="100">
        <v>0</v>
      </c>
      <c r="E10" s="143">
        <v>540</v>
      </c>
      <c r="F10" s="137">
        <v>0</v>
      </c>
      <c r="G10" s="100">
        <v>0</v>
      </c>
    </row>
    <row r="11" spans="1:12" x14ac:dyDescent="0.25">
      <c r="A11" s="92" t="s">
        <v>8</v>
      </c>
      <c r="B11" s="99">
        <v>24810.09</v>
      </c>
      <c r="C11" s="119">
        <v>0</v>
      </c>
      <c r="D11" s="100">
        <v>0</v>
      </c>
      <c r="E11" s="143">
        <v>26125.16</v>
      </c>
      <c r="F11" s="137">
        <v>0</v>
      </c>
      <c r="G11" s="100">
        <v>0</v>
      </c>
    </row>
    <row r="12" spans="1:12" x14ac:dyDescent="0.25">
      <c r="A12" s="92" t="s">
        <v>9</v>
      </c>
      <c r="B12" s="99">
        <v>1130.4000000000001</v>
      </c>
      <c r="C12" s="119">
        <v>0</v>
      </c>
      <c r="D12" s="100">
        <v>0</v>
      </c>
      <c r="E12" s="143">
        <v>1349.99</v>
      </c>
      <c r="F12" s="137">
        <v>0</v>
      </c>
      <c r="G12" s="100">
        <v>0</v>
      </c>
    </row>
    <row r="13" spans="1:12" ht="16.5" hidden="1" customHeight="1" x14ac:dyDescent="0.25">
      <c r="A13" s="92" t="s">
        <v>10</v>
      </c>
      <c r="B13" s="93">
        <v>0</v>
      </c>
      <c r="C13" s="120">
        <v>0</v>
      </c>
      <c r="D13" s="94" t="e">
        <f>B13/C13*100</f>
        <v>#DIV/0!</v>
      </c>
      <c r="E13" s="136"/>
      <c r="F13" s="137"/>
      <c r="G13" s="100"/>
    </row>
    <row r="14" spans="1:12" x14ac:dyDescent="0.25">
      <c r="A14" s="96" t="s">
        <v>11</v>
      </c>
      <c r="B14" s="93">
        <f>SUM(B6:B12)</f>
        <v>164461.12999999998</v>
      </c>
      <c r="C14" s="120">
        <f>SUM(C6:C12)</f>
        <v>65020</v>
      </c>
      <c r="D14" s="94">
        <f>C14/B14*100</f>
        <v>39.535177704300104</v>
      </c>
      <c r="E14" s="93">
        <f>SUM(E6:E12)</f>
        <v>189278.15999999997</v>
      </c>
      <c r="F14" s="137">
        <v>78900</v>
      </c>
      <c r="G14" s="100">
        <f>F14/E14*100</f>
        <v>41.684682480007204</v>
      </c>
      <c r="L14" s="138"/>
    </row>
    <row r="15" spans="1:12" hidden="1" x14ac:dyDescent="0.25">
      <c r="A15" s="96" t="s">
        <v>12</v>
      </c>
      <c r="B15" s="97"/>
      <c r="C15" s="121">
        <v>0</v>
      </c>
      <c r="D15" s="94" t="e">
        <f>C15/B15*100</f>
        <v>#DIV/0!</v>
      </c>
      <c r="E15" s="136"/>
      <c r="F15" s="137"/>
      <c r="G15" s="100"/>
    </row>
    <row r="16" spans="1:12" x14ac:dyDescent="0.25">
      <c r="A16" s="96" t="s">
        <v>169</v>
      </c>
      <c r="B16" s="97"/>
      <c r="C16" s="121"/>
      <c r="D16" s="94"/>
      <c r="E16" s="139">
        <v>22.57</v>
      </c>
      <c r="F16" s="137">
        <v>0</v>
      </c>
      <c r="G16" s="100">
        <v>0</v>
      </c>
    </row>
    <row r="17" spans="1:19" ht="17.25" x14ac:dyDescent="0.4">
      <c r="A17" s="105" t="s">
        <v>13</v>
      </c>
      <c r="B17" s="106">
        <v>164461.13</v>
      </c>
      <c r="C17" s="122">
        <f t="shared" ref="C17" si="0">C14+C15</f>
        <v>65020</v>
      </c>
      <c r="D17" s="107">
        <f>C17/B17*100</f>
        <v>39.535177704300096</v>
      </c>
      <c r="E17" s="139">
        <f>SUM(E14:E16)</f>
        <v>189300.72999999998</v>
      </c>
      <c r="F17" s="137">
        <f>F14</f>
        <v>78900</v>
      </c>
      <c r="G17" s="100">
        <f>F17/E17*100</f>
        <v>41.679712487109796</v>
      </c>
    </row>
    <row r="18" spans="1:19" hidden="1" x14ac:dyDescent="0.25">
      <c r="A18" s="96" t="s">
        <v>14</v>
      </c>
      <c r="B18" s="97">
        <v>0</v>
      </c>
      <c r="C18" s="123">
        <v>0</v>
      </c>
      <c r="D18" s="94" t="e">
        <f>C18/B18*100</f>
        <v>#DIV/0!</v>
      </c>
      <c r="E18" s="136"/>
      <c r="F18" s="137"/>
      <c r="G18" s="100"/>
    </row>
    <row r="19" spans="1:19" hidden="1" x14ac:dyDescent="0.25">
      <c r="A19" s="92" t="s">
        <v>15</v>
      </c>
      <c r="B19" s="93">
        <v>0</v>
      </c>
      <c r="C19" s="120">
        <v>0</v>
      </c>
      <c r="D19" s="94" t="e">
        <f>C19/B19*100</f>
        <v>#DIV/0!</v>
      </c>
      <c r="E19" s="136"/>
      <c r="F19" s="137"/>
      <c r="G19" s="100"/>
    </row>
    <row r="20" spans="1:19" hidden="1" x14ac:dyDescent="0.25">
      <c r="A20" s="96" t="s">
        <v>16</v>
      </c>
      <c r="B20" s="93">
        <v>0</v>
      </c>
      <c r="C20" s="120">
        <v>0</v>
      </c>
      <c r="D20" s="94" t="e">
        <f>C20/B20*100</f>
        <v>#DIV/0!</v>
      </c>
      <c r="E20" s="136"/>
      <c r="F20" s="137"/>
      <c r="G20" s="100"/>
    </row>
    <row r="21" spans="1:19" x14ac:dyDescent="0.25">
      <c r="A21" s="98" t="s">
        <v>179</v>
      </c>
      <c r="B21" s="93">
        <v>15495.41</v>
      </c>
      <c r="C21" s="120">
        <v>0</v>
      </c>
      <c r="D21" s="94"/>
      <c r="E21" s="139">
        <f>17694.98-9376.17+8318.72+0.09</f>
        <v>16637.62</v>
      </c>
      <c r="F21" s="141">
        <v>0</v>
      </c>
      <c r="G21" s="94">
        <v>0</v>
      </c>
      <c r="S21" s="138"/>
    </row>
    <row r="22" spans="1:19" x14ac:dyDescent="0.25">
      <c r="A22" s="92" t="s">
        <v>18</v>
      </c>
      <c r="B22" s="99">
        <v>8527.7999999999993</v>
      </c>
      <c r="C22" s="119">
        <v>3046.12</v>
      </c>
      <c r="D22" s="100">
        <f t="shared" ref="D22:D53" si="1">C22/B22*100</f>
        <v>35.719880860245318</v>
      </c>
      <c r="E22" s="136">
        <v>8784</v>
      </c>
      <c r="F22" s="137">
        <f>E22-E6-2000-336.05</f>
        <v>3957.95</v>
      </c>
      <c r="G22" s="100">
        <f t="shared" ref="G22:G56" si="2">F22/E22*100</f>
        <v>45.058629326047352</v>
      </c>
      <c r="H22" s="144"/>
    </row>
    <row r="23" spans="1:19" hidden="1" x14ac:dyDescent="0.25">
      <c r="A23" s="92"/>
      <c r="B23" s="101"/>
      <c r="C23" s="124"/>
      <c r="D23" s="100" t="e">
        <f t="shared" si="1"/>
        <v>#DIV/0!</v>
      </c>
      <c r="E23" s="136"/>
      <c r="F23" s="137"/>
      <c r="G23" s="100" t="e">
        <f t="shared" si="2"/>
        <v>#DIV/0!</v>
      </c>
    </row>
    <row r="24" spans="1:19" hidden="1" x14ac:dyDescent="0.25">
      <c r="A24" s="92"/>
      <c r="B24" s="101"/>
      <c r="C24" s="124"/>
      <c r="D24" s="100" t="e">
        <f t="shared" si="1"/>
        <v>#DIV/0!</v>
      </c>
      <c r="E24" s="136"/>
      <c r="F24" s="137"/>
      <c r="G24" s="100" t="e">
        <f t="shared" si="2"/>
        <v>#DIV/0!</v>
      </c>
    </row>
    <row r="25" spans="1:19" hidden="1" x14ac:dyDescent="0.25">
      <c r="A25" s="92"/>
      <c r="B25" s="101"/>
      <c r="C25" s="124"/>
      <c r="D25" s="100" t="e">
        <f t="shared" si="1"/>
        <v>#DIV/0!</v>
      </c>
      <c r="E25" s="136"/>
      <c r="F25" s="137"/>
      <c r="G25" s="100" t="e">
        <f t="shared" si="2"/>
        <v>#DIV/0!</v>
      </c>
    </row>
    <row r="26" spans="1:19" hidden="1" x14ac:dyDescent="0.25">
      <c r="A26" s="92"/>
      <c r="B26" s="101"/>
      <c r="C26" s="124"/>
      <c r="D26" s="100" t="e">
        <f t="shared" si="1"/>
        <v>#DIV/0!</v>
      </c>
      <c r="E26" s="136"/>
      <c r="F26" s="137"/>
      <c r="G26" s="100" t="e">
        <f t="shared" si="2"/>
        <v>#DIV/0!</v>
      </c>
    </row>
    <row r="27" spans="1:19" hidden="1" x14ac:dyDescent="0.25">
      <c r="A27" s="92"/>
      <c r="B27" s="101"/>
      <c r="C27" s="124"/>
      <c r="D27" s="100" t="e">
        <f t="shared" si="1"/>
        <v>#DIV/0!</v>
      </c>
      <c r="E27" s="136"/>
      <c r="F27" s="137"/>
      <c r="G27" s="100" t="e">
        <f t="shared" si="2"/>
        <v>#DIV/0!</v>
      </c>
    </row>
    <row r="28" spans="1:19" hidden="1" x14ac:dyDescent="0.25">
      <c r="A28" s="92" t="s">
        <v>19</v>
      </c>
      <c r="B28" s="101">
        <v>0</v>
      </c>
      <c r="C28" s="124">
        <v>0</v>
      </c>
      <c r="D28" s="100" t="e">
        <f t="shared" si="1"/>
        <v>#DIV/0!</v>
      </c>
      <c r="E28" s="136"/>
      <c r="F28" s="137"/>
      <c r="G28" s="100" t="e">
        <f t="shared" si="2"/>
        <v>#DIV/0!</v>
      </c>
    </row>
    <row r="29" spans="1:19" hidden="1" x14ac:dyDescent="0.25">
      <c r="A29" s="92" t="s">
        <v>20</v>
      </c>
      <c r="B29" s="101">
        <v>0</v>
      </c>
      <c r="C29" s="124">
        <v>0</v>
      </c>
      <c r="D29" s="100" t="e">
        <f t="shared" si="1"/>
        <v>#DIV/0!</v>
      </c>
      <c r="E29" s="136"/>
      <c r="F29" s="137"/>
      <c r="G29" s="100" t="e">
        <f t="shared" si="2"/>
        <v>#DIV/0!</v>
      </c>
    </row>
    <row r="30" spans="1:19" hidden="1" x14ac:dyDescent="0.25">
      <c r="A30" s="92" t="s">
        <v>21</v>
      </c>
      <c r="B30" s="101">
        <v>0</v>
      </c>
      <c r="C30" s="124">
        <v>0</v>
      </c>
      <c r="D30" s="100" t="e">
        <f t="shared" si="1"/>
        <v>#DIV/0!</v>
      </c>
      <c r="E30" s="136"/>
      <c r="F30" s="137"/>
      <c r="G30" s="100" t="e">
        <f t="shared" si="2"/>
        <v>#DIV/0!</v>
      </c>
    </row>
    <row r="31" spans="1:19" hidden="1" x14ac:dyDescent="0.25">
      <c r="A31" s="92" t="s">
        <v>22</v>
      </c>
      <c r="B31" s="101">
        <v>0</v>
      </c>
      <c r="C31" s="124">
        <v>0</v>
      </c>
      <c r="D31" s="100" t="e">
        <f t="shared" si="1"/>
        <v>#DIV/0!</v>
      </c>
      <c r="E31" s="136"/>
      <c r="F31" s="137"/>
      <c r="G31" s="100" t="e">
        <f t="shared" si="2"/>
        <v>#DIV/0!</v>
      </c>
    </row>
    <row r="32" spans="1:19" hidden="1" x14ac:dyDescent="0.25">
      <c r="A32" s="92" t="s">
        <v>23</v>
      </c>
      <c r="B32" s="101">
        <v>0</v>
      </c>
      <c r="C32" s="124">
        <v>0</v>
      </c>
      <c r="D32" s="100" t="e">
        <f t="shared" si="1"/>
        <v>#DIV/0!</v>
      </c>
      <c r="E32" s="136"/>
      <c r="F32" s="137"/>
      <c r="G32" s="100" t="e">
        <f t="shared" si="2"/>
        <v>#DIV/0!</v>
      </c>
    </row>
    <row r="33" spans="1:7" hidden="1" x14ac:dyDescent="0.25">
      <c r="A33" s="92" t="s">
        <v>24</v>
      </c>
      <c r="B33" s="101">
        <v>0</v>
      </c>
      <c r="C33" s="124">
        <v>0</v>
      </c>
      <c r="D33" s="100" t="e">
        <f t="shared" si="1"/>
        <v>#DIV/0!</v>
      </c>
      <c r="E33" s="136"/>
      <c r="F33" s="137"/>
      <c r="G33" s="100" t="e">
        <f t="shared" si="2"/>
        <v>#DIV/0!</v>
      </c>
    </row>
    <row r="34" spans="1:7" hidden="1" x14ac:dyDescent="0.25">
      <c r="A34" s="92" t="s">
        <v>25</v>
      </c>
      <c r="B34" s="101">
        <v>0</v>
      </c>
      <c r="C34" s="124">
        <v>0</v>
      </c>
      <c r="D34" s="100" t="e">
        <f t="shared" si="1"/>
        <v>#DIV/0!</v>
      </c>
      <c r="E34" s="136"/>
      <c r="F34" s="137"/>
      <c r="G34" s="100" t="e">
        <f t="shared" si="2"/>
        <v>#DIV/0!</v>
      </c>
    </row>
    <row r="35" spans="1:7" hidden="1" x14ac:dyDescent="0.25">
      <c r="A35" s="92" t="s">
        <v>26</v>
      </c>
      <c r="B35" s="101">
        <v>0</v>
      </c>
      <c r="C35" s="124">
        <v>0</v>
      </c>
      <c r="D35" s="100" t="e">
        <f t="shared" si="1"/>
        <v>#DIV/0!</v>
      </c>
      <c r="E35" s="136"/>
      <c r="F35" s="137"/>
      <c r="G35" s="100" t="e">
        <f t="shared" si="2"/>
        <v>#DIV/0!</v>
      </c>
    </row>
    <row r="36" spans="1:7" hidden="1" x14ac:dyDescent="0.25">
      <c r="A36" s="92" t="s">
        <v>27</v>
      </c>
      <c r="B36" s="101"/>
      <c r="C36" s="124"/>
      <c r="D36" s="100" t="e">
        <f t="shared" si="1"/>
        <v>#DIV/0!</v>
      </c>
      <c r="E36" s="136"/>
      <c r="F36" s="137"/>
      <c r="G36" s="100" t="e">
        <f t="shared" si="2"/>
        <v>#DIV/0!</v>
      </c>
    </row>
    <row r="37" spans="1:7" hidden="1" x14ac:dyDescent="0.25">
      <c r="A37" s="92" t="s">
        <v>28</v>
      </c>
      <c r="B37" s="101"/>
      <c r="C37" s="124"/>
      <c r="D37" s="100" t="e">
        <f t="shared" si="1"/>
        <v>#DIV/0!</v>
      </c>
      <c r="E37" s="136"/>
      <c r="F37" s="137"/>
      <c r="G37" s="100" t="e">
        <f t="shared" si="2"/>
        <v>#DIV/0!</v>
      </c>
    </row>
    <row r="38" spans="1:7" hidden="1" x14ac:dyDescent="0.25">
      <c r="A38" s="92" t="s">
        <v>29</v>
      </c>
      <c r="B38" s="101"/>
      <c r="C38" s="124"/>
      <c r="D38" s="100" t="e">
        <f t="shared" si="1"/>
        <v>#DIV/0!</v>
      </c>
      <c r="E38" s="136"/>
      <c r="F38" s="137"/>
      <c r="G38" s="100" t="e">
        <f t="shared" si="2"/>
        <v>#DIV/0!</v>
      </c>
    </row>
    <row r="39" spans="1:7" hidden="1" x14ac:dyDescent="0.25">
      <c r="A39" s="92" t="s">
        <v>21</v>
      </c>
      <c r="B39" s="101"/>
      <c r="C39" s="124"/>
      <c r="D39" s="100" t="e">
        <f t="shared" si="1"/>
        <v>#DIV/0!</v>
      </c>
      <c r="E39" s="136"/>
      <c r="F39" s="137"/>
      <c r="G39" s="100" t="e">
        <f t="shared" si="2"/>
        <v>#DIV/0!</v>
      </c>
    </row>
    <row r="40" spans="1:7" hidden="1" x14ac:dyDescent="0.25">
      <c r="A40" s="92" t="s">
        <v>30</v>
      </c>
      <c r="B40" s="101"/>
      <c r="C40" s="124"/>
      <c r="D40" s="100" t="e">
        <f t="shared" si="1"/>
        <v>#DIV/0!</v>
      </c>
      <c r="E40" s="136"/>
      <c r="F40" s="137"/>
      <c r="G40" s="100" t="e">
        <f t="shared" si="2"/>
        <v>#DIV/0!</v>
      </c>
    </row>
    <row r="41" spans="1:7" hidden="1" x14ac:dyDescent="0.25">
      <c r="A41" s="92" t="s">
        <v>31</v>
      </c>
      <c r="B41" s="101"/>
      <c r="C41" s="124"/>
      <c r="D41" s="100" t="e">
        <f t="shared" si="1"/>
        <v>#DIV/0!</v>
      </c>
      <c r="E41" s="136"/>
      <c r="F41" s="137"/>
      <c r="G41" s="100" t="e">
        <f t="shared" si="2"/>
        <v>#DIV/0!</v>
      </c>
    </row>
    <row r="42" spans="1:7" hidden="1" x14ac:dyDescent="0.25">
      <c r="A42" s="92"/>
      <c r="B42" s="101"/>
      <c r="C42" s="124"/>
      <c r="D42" s="100" t="e">
        <f t="shared" si="1"/>
        <v>#DIV/0!</v>
      </c>
      <c r="E42" s="136"/>
      <c r="F42" s="137"/>
      <c r="G42" s="100" t="e">
        <f t="shared" si="2"/>
        <v>#DIV/0!</v>
      </c>
    </row>
    <row r="43" spans="1:7" hidden="1" x14ac:dyDescent="0.25">
      <c r="A43" s="92" t="s">
        <v>32</v>
      </c>
      <c r="B43" s="101"/>
      <c r="C43" s="124"/>
      <c r="D43" s="100" t="e">
        <f t="shared" si="1"/>
        <v>#DIV/0!</v>
      </c>
      <c r="E43" s="136"/>
      <c r="F43" s="137"/>
      <c r="G43" s="100" t="e">
        <f t="shared" si="2"/>
        <v>#DIV/0!</v>
      </c>
    </row>
    <row r="44" spans="1:7" hidden="1" x14ac:dyDescent="0.25">
      <c r="A44" s="92"/>
      <c r="B44" s="101"/>
      <c r="C44" s="124"/>
      <c r="D44" s="100" t="e">
        <f t="shared" si="1"/>
        <v>#DIV/0!</v>
      </c>
      <c r="E44" s="136"/>
      <c r="F44" s="137"/>
      <c r="G44" s="100" t="e">
        <f t="shared" si="2"/>
        <v>#DIV/0!</v>
      </c>
    </row>
    <row r="45" spans="1:7" hidden="1" x14ac:dyDescent="0.25">
      <c r="A45" s="92" t="s">
        <v>33</v>
      </c>
      <c r="B45" s="101"/>
      <c r="C45" s="124"/>
      <c r="D45" s="100" t="e">
        <f t="shared" si="1"/>
        <v>#DIV/0!</v>
      </c>
      <c r="E45" s="136"/>
      <c r="F45" s="137"/>
      <c r="G45" s="100" t="e">
        <f t="shared" si="2"/>
        <v>#DIV/0!</v>
      </c>
    </row>
    <row r="46" spans="1:7" hidden="1" x14ac:dyDescent="0.25">
      <c r="A46" s="92" t="s">
        <v>34</v>
      </c>
      <c r="B46" s="101"/>
      <c r="C46" s="124"/>
      <c r="D46" s="100" t="e">
        <f t="shared" si="1"/>
        <v>#DIV/0!</v>
      </c>
      <c r="E46" s="136"/>
      <c r="F46" s="137"/>
      <c r="G46" s="100" t="e">
        <f t="shared" si="2"/>
        <v>#DIV/0!</v>
      </c>
    </row>
    <row r="47" spans="1:7" hidden="1" x14ac:dyDescent="0.25">
      <c r="A47" s="92" t="s">
        <v>35</v>
      </c>
      <c r="B47" s="101">
        <v>0</v>
      </c>
      <c r="C47" s="124">
        <v>0</v>
      </c>
      <c r="D47" s="100" t="e">
        <f t="shared" si="1"/>
        <v>#DIV/0!</v>
      </c>
      <c r="E47" s="136"/>
      <c r="F47" s="137"/>
      <c r="G47" s="100" t="e">
        <f t="shared" si="2"/>
        <v>#DIV/0!</v>
      </c>
    </row>
    <row r="48" spans="1:7" hidden="1" x14ac:dyDescent="0.25">
      <c r="A48" s="92" t="s">
        <v>36</v>
      </c>
      <c r="B48" s="101">
        <v>0</v>
      </c>
      <c r="C48" s="124">
        <v>0</v>
      </c>
      <c r="D48" s="100" t="e">
        <f t="shared" si="1"/>
        <v>#DIV/0!</v>
      </c>
      <c r="E48" s="136"/>
      <c r="F48" s="137"/>
      <c r="G48" s="100" t="e">
        <f t="shared" si="2"/>
        <v>#DIV/0!</v>
      </c>
    </row>
    <row r="49" spans="1:7" hidden="1" x14ac:dyDescent="0.25">
      <c r="A49" s="92" t="s">
        <v>37</v>
      </c>
      <c r="B49" s="101">
        <v>0</v>
      </c>
      <c r="C49" s="124">
        <v>0</v>
      </c>
      <c r="D49" s="100" t="e">
        <f t="shared" si="1"/>
        <v>#DIV/0!</v>
      </c>
      <c r="E49" s="136"/>
      <c r="F49" s="137"/>
      <c r="G49" s="100" t="e">
        <f t="shared" si="2"/>
        <v>#DIV/0!</v>
      </c>
    </row>
    <row r="50" spans="1:7" hidden="1" x14ac:dyDescent="0.25">
      <c r="A50" s="92" t="s">
        <v>38</v>
      </c>
      <c r="B50" s="101">
        <v>0</v>
      </c>
      <c r="C50" s="124">
        <v>0</v>
      </c>
      <c r="D50" s="100" t="e">
        <f t="shared" si="1"/>
        <v>#DIV/0!</v>
      </c>
      <c r="E50" s="136"/>
      <c r="F50" s="137"/>
      <c r="G50" s="100" t="e">
        <f t="shared" si="2"/>
        <v>#DIV/0!</v>
      </c>
    </row>
    <row r="51" spans="1:7" hidden="1" x14ac:dyDescent="0.25">
      <c r="A51" s="92" t="s">
        <v>39</v>
      </c>
      <c r="B51" s="101">
        <v>0</v>
      </c>
      <c r="C51" s="124">
        <v>0</v>
      </c>
      <c r="D51" s="100" t="e">
        <f t="shared" si="1"/>
        <v>#DIV/0!</v>
      </c>
      <c r="E51" s="136"/>
      <c r="F51" s="137"/>
      <c r="G51" s="100" t="e">
        <f t="shared" si="2"/>
        <v>#DIV/0!</v>
      </c>
    </row>
    <row r="52" spans="1:7" hidden="1" x14ac:dyDescent="0.25">
      <c r="A52" s="92" t="s">
        <v>40</v>
      </c>
      <c r="B52" s="101"/>
      <c r="C52" s="124"/>
      <c r="D52" s="100" t="e">
        <f t="shared" si="1"/>
        <v>#DIV/0!</v>
      </c>
      <c r="E52" s="136"/>
      <c r="F52" s="137"/>
      <c r="G52" s="100" t="e">
        <f t="shared" si="2"/>
        <v>#DIV/0!</v>
      </c>
    </row>
    <row r="53" spans="1:7" hidden="1" x14ac:dyDescent="0.25">
      <c r="A53" s="92" t="s">
        <v>41</v>
      </c>
      <c r="B53" s="101"/>
      <c r="C53" s="124"/>
      <c r="D53" s="100" t="e">
        <f t="shared" si="1"/>
        <v>#DIV/0!</v>
      </c>
      <c r="E53" s="136"/>
      <c r="F53" s="137"/>
      <c r="G53" s="100" t="e">
        <f t="shared" si="2"/>
        <v>#DIV/0!</v>
      </c>
    </row>
    <row r="54" spans="1:7" hidden="1" x14ac:dyDescent="0.25">
      <c r="A54" s="92" t="s">
        <v>42</v>
      </c>
      <c r="B54" s="101"/>
      <c r="C54" s="124"/>
      <c r="D54" s="100" t="e">
        <f t="shared" ref="D54:D85" si="3">C54/B54*100</f>
        <v>#DIV/0!</v>
      </c>
      <c r="E54" s="136"/>
      <c r="F54" s="137"/>
      <c r="G54" s="100" t="e">
        <f t="shared" si="2"/>
        <v>#DIV/0!</v>
      </c>
    </row>
    <row r="55" spans="1:7" x14ac:dyDescent="0.25">
      <c r="A55" s="92" t="s">
        <v>43</v>
      </c>
      <c r="B55" s="99">
        <v>457.46</v>
      </c>
      <c r="C55" s="119">
        <v>96.91</v>
      </c>
      <c r="D55" s="100">
        <f t="shared" si="3"/>
        <v>21.184365846194204</v>
      </c>
      <c r="E55" s="136">
        <v>380.76</v>
      </c>
      <c r="F55" s="137">
        <f>E55-20.41</f>
        <v>360.34999999999997</v>
      </c>
      <c r="G55" s="100">
        <f t="shared" si="2"/>
        <v>94.639668032356326</v>
      </c>
    </row>
    <row r="56" spans="1:7" x14ac:dyDescent="0.25">
      <c r="A56" s="92" t="s">
        <v>44</v>
      </c>
      <c r="B56" s="99">
        <v>191.34</v>
      </c>
      <c r="C56" s="119">
        <v>118.71</v>
      </c>
      <c r="D56" s="100">
        <f t="shared" si="3"/>
        <v>62.041392285983065</v>
      </c>
      <c r="E56" s="136">
        <v>336.57</v>
      </c>
      <c r="F56" s="137">
        <f>E56-18.04</f>
        <v>318.52999999999997</v>
      </c>
      <c r="G56" s="100">
        <f t="shared" si="2"/>
        <v>94.640045161482007</v>
      </c>
    </row>
    <row r="57" spans="1:7" x14ac:dyDescent="0.25">
      <c r="A57" s="92" t="s">
        <v>45</v>
      </c>
      <c r="B57" s="99">
        <v>452</v>
      </c>
      <c r="C57" s="119">
        <v>100</v>
      </c>
      <c r="D57" s="100">
        <f t="shared" si="3"/>
        <v>22.123893805309734</v>
      </c>
      <c r="E57" s="136">
        <v>0</v>
      </c>
      <c r="F57" s="137">
        <v>0</v>
      </c>
      <c r="G57" s="100">
        <v>0</v>
      </c>
    </row>
    <row r="58" spans="1:7" hidden="1" x14ac:dyDescent="0.25">
      <c r="A58" s="92" t="s">
        <v>46</v>
      </c>
      <c r="B58" s="99"/>
      <c r="C58" s="119"/>
      <c r="D58" s="100" t="e">
        <f t="shared" si="3"/>
        <v>#DIV/0!</v>
      </c>
      <c r="E58" s="136"/>
      <c r="F58" s="137"/>
      <c r="G58" s="100"/>
    </row>
    <row r="59" spans="1:7" x14ac:dyDescent="0.25">
      <c r="A59" s="92" t="s">
        <v>47</v>
      </c>
      <c r="B59" s="99">
        <v>1986.58</v>
      </c>
      <c r="C59" s="119">
        <v>856.12</v>
      </c>
      <c r="D59" s="100">
        <f t="shared" si="3"/>
        <v>43.095168581179713</v>
      </c>
      <c r="E59" s="136">
        <f>2089.08-418.36</f>
        <v>1670.7199999999998</v>
      </c>
      <c r="F59" s="137">
        <f>612.89+200</f>
        <v>812.89</v>
      </c>
      <c r="G59" s="100">
        <f t="shared" ref="G59:G68" si="4">F59/E59*100</f>
        <v>48.655070867649883</v>
      </c>
    </row>
    <row r="60" spans="1:7" x14ac:dyDescent="0.25">
      <c r="A60" s="92" t="s">
        <v>48</v>
      </c>
      <c r="B60" s="99">
        <v>1603.08</v>
      </c>
      <c r="C60" s="119">
        <v>226.12</v>
      </c>
      <c r="D60" s="100">
        <f t="shared" si="3"/>
        <v>14.105347206627245</v>
      </c>
      <c r="E60" s="136">
        <v>1076.53</v>
      </c>
      <c r="F60" s="137">
        <v>0</v>
      </c>
      <c r="G60" s="100">
        <f t="shared" si="4"/>
        <v>0</v>
      </c>
    </row>
    <row r="61" spans="1:7" x14ac:dyDescent="0.25">
      <c r="A61" s="92" t="s">
        <v>49</v>
      </c>
      <c r="B61" s="99">
        <v>1866.6</v>
      </c>
      <c r="C61" s="119">
        <v>443.6</v>
      </c>
      <c r="D61" s="100">
        <f t="shared" si="3"/>
        <v>23.765134469088185</v>
      </c>
      <c r="E61" s="136">
        <v>2156.96</v>
      </c>
      <c r="F61" s="137">
        <v>0</v>
      </c>
      <c r="G61" s="100">
        <f t="shared" si="4"/>
        <v>0</v>
      </c>
    </row>
    <row r="62" spans="1:7" x14ac:dyDescent="0.25">
      <c r="A62" s="92" t="s">
        <v>50</v>
      </c>
      <c r="B62" s="99">
        <v>1573.98</v>
      </c>
      <c r="C62" s="119">
        <v>1573.98</v>
      </c>
      <c r="D62" s="100">
        <f t="shared" si="3"/>
        <v>100</v>
      </c>
      <c r="E62" s="136">
        <v>3436.05</v>
      </c>
      <c r="F62" s="137">
        <v>1798.44</v>
      </c>
      <c r="G62" s="100">
        <f t="shared" si="4"/>
        <v>52.340332649408474</v>
      </c>
    </row>
    <row r="63" spans="1:7" ht="17.25" x14ac:dyDescent="0.4">
      <c r="A63" s="102" t="s">
        <v>144</v>
      </c>
      <c r="B63" s="103">
        <f t="shared" ref="B63:E63" si="5">SUM(B22:B62)</f>
        <v>16658.84</v>
      </c>
      <c r="C63" s="125">
        <f t="shared" si="5"/>
        <v>6461.5599999999995</v>
      </c>
      <c r="D63" s="104">
        <f t="shared" si="3"/>
        <v>38.787574645053311</v>
      </c>
      <c r="E63" s="103">
        <f t="shared" si="5"/>
        <v>17841.59</v>
      </c>
      <c r="F63" s="142">
        <f>F22+F55+F56+F57+F59+F60+F61+F62</f>
        <v>7248.16</v>
      </c>
      <c r="G63" s="100">
        <f t="shared" si="4"/>
        <v>40.625078818647886</v>
      </c>
    </row>
    <row r="64" spans="1:7" x14ac:dyDescent="0.25">
      <c r="A64" s="92" t="s">
        <v>52</v>
      </c>
      <c r="B64" s="99">
        <v>1807.99</v>
      </c>
      <c r="C64" s="119">
        <v>655</v>
      </c>
      <c r="D64" s="100">
        <f t="shared" si="3"/>
        <v>36.228076482723907</v>
      </c>
      <c r="E64" s="136">
        <f>2725.02-335.3</f>
        <v>2389.7199999999998</v>
      </c>
      <c r="F64" s="137">
        <v>945.43</v>
      </c>
      <c r="G64" s="100">
        <f t="shared" si="4"/>
        <v>39.562375508427763</v>
      </c>
    </row>
    <row r="65" spans="1:9" x14ac:dyDescent="0.25">
      <c r="A65" s="92" t="s">
        <v>53</v>
      </c>
      <c r="B65" s="99">
        <v>589.16</v>
      </c>
      <c r="C65" s="119">
        <v>325.63</v>
      </c>
      <c r="D65" s="100">
        <f t="shared" si="3"/>
        <v>55.270215221671535</v>
      </c>
      <c r="E65" s="136">
        <v>696.18</v>
      </c>
      <c r="F65" s="137">
        <f>E65-37.32</f>
        <v>658.8599999999999</v>
      </c>
      <c r="G65" s="100">
        <f t="shared" si="4"/>
        <v>94.639317417909155</v>
      </c>
    </row>
    <row r="66" spans="1:9" ht="17.25" x14ac:dyDescent="0.4">
      <c r="A66" s="102" t="s">
        <v>54</v>
      </c>
      <c r="B66" s="108">
        <f>B64+B65</f>
        <v>2397.15</v>
      </c>
      <c r="C66" s="126">
        <f>C64+C65</f>
        <v>980.63</v>
      </c>
      <c r="D66" s="104">
        <f t="shared" si="3"/>
        <v>40.90816177544167</v>
      </c>
      <c r="E66" s="108">
        <f>E64+E65</f>
        <v>3085.8999999999996</v>
      </c>
      <c r="F66" s="142">
        <f>F64+F65</f>
        <v>1604.29</v>
      </c>
      <c r="G66" s="100">
        <f t="shared" si="4"/>
        <v>51.987750737224161</v>
      </c>
    </row>
    <row r="67" spans="1:9" x14ac:dyDescent="0.25">
      <c r="A67" s="92" t="s">
        <v>145</v>
      </c>
      <c r="B67" s="99">
        <v>608</v>
      </c>
      <c r="C67" s="119">
        <f>608-200</f>
        <v>408</v>
      </c>
      <c r="D67" s="100">
        <f t="shared" si="3"/>
        <v>67.10526315789474</v>
      </c>
      <c r="E67" s="136">
        <v>536.78</v>
      </c>
      <c r="F67" s="137">
        <v>0</v>
      </c>
      <c r="G67" s="100">
        <f t="shared" si="4"/>
        <v>0</v>
      </c>
    </row>
    <row r="68" spans="1:9" ht="17.25" x14ac:dyDescent="0.4">
      <c r="A68" s="102" t="s">
        <v>56</v>
      </c>
      <c r="B68" s="109">
        <f>B67</f>
        <v>608</v>
      </c>
      <c r="C68" s="127">
        <f>C67</f>
        <v>408</v>
      </c>
      <c r="D68" s="104">
        <f t="shared" si="3"/>
        <v>67.10526315789474</v>
      </c>
      <c r="E68" s="109">
        <f>E67</f>
        <v>536.78</v>
      </c>
      <c r="F68" s="142">
        <f>F67</f>
        <v>0</v>
      </c>
      <c r="G68" s="100">
        <f t="shared" si="4"/>
        <v>0</v>
      </c>
    </row>
    <row r="69" spans="1:9" x14ac:dyDescent="0.25">
      <c r="A69" s="92" t="s">
        <v>57</v>
      </c>
      <c r="B69" s="99">
        <v>3724</v>
      </c>
      <c r="C69" s="119">
        <v>2370</v>
      </c>
      <c r="D69" s="100">
        <f t="shared" si="3"/>
        <v>63.641245972073037</v>
      </c>
      <c r="E69" s="136">
        <v>4222.8</v>
      </c>
      <c r="F69" s="137">
        <f>E69-226.44</f>
        <v>3996.36</v>
      </c>
      <c r="G69" s="100">
        <f t="shared" ref="G69:G79" si="6">F69/E69*100</f>
        <v>94.637681159420282</v>
      </c>
    </row>
    <row r="70" spans="1:9" x14ac:dyDescent="0.25">
      <c r="A70" s="92" t="s">
        <v>180</v>
      </c>
      <c r="B70" s="99">
        <v>585.6</v>
      </c>
      <c r="C70" s="119">
        <v>261.64999999999998</v>
      </c>
      <c r="D70" s="100">
        <f t="shared" si="3"/>
        <v>44.680669398907099</v>
      </c>
      <c r="E70" s="143">
        <v>1291.07</v>
      </c>
      <c r="F70" s="137">
        <v>536.12</v>
      </c>
      <c r="G70" s="100">
        <f t="shared" si="6"/>
        <v>41.525246500964322</v>
      </c>
    </row>
    <row r="71" spans="1:9" ht="17.25" x14ac:dyDescent="0.4">
      <c r="A71" s="102" t="s">
        <v>59</v>
      </c>
      <c r="B71" s="108">
        <f>B69+B70</f>
        <v>4309.6000000000004</v>
      </c>
      <c r="C71" s="126">
        <f>C69+C70</f>
        <v>2631.65</v>
      </c>
      <c r="D71" s="104">
        <f t="shared" si="3"/>
        <v>61.064832002970114</v>
      </c>
      <c r="E71" s="140">
        <f>SUM(E69:E70)</f>
        <v>5513.87</v>
      </c>
      <c r="F71" s="142">
        <f>F69+F70</f>
        <v>4532.4800000000005</v>
      </c>
      <c r="G71" s="100">
        <f t="shared" si="6"/>
        <v>82.201430211448596</v>
      </c>
    </row>
    <row r="72" spans="1:9" x14ac:dyDescent="0.25">
      <c r="A72" s="92" t="s">
        <v>60</v>
      </c>
      <c r="B72" s="99">
        <v>879.32</v>
      </c>
      <c r="C72" s="119">
        <f>879.32-47.13</f>
        <v>832.19</v>
      </c>
      <c r="D72" s="100">
        <f t="shared" si="3"/>
        <v>94.640176500022747</v>
      </c>
      <c r="E72" s="136">
        <v>1585.28</v>
      </c>
      <c r="F72" s="137">
        <f>1585.28-84.97</f>
        <v>1500.31</v>
      </c>
      <c r="G72" s="100">
        <f t="shared" si="6"/>
        <v>94.640063584981831</v>
      </c>
    </row>
    <row r="73" spans="1:9" ht="17.25" x14ac:dyDescent="0.4">
      <c r="A73" s="102" t="s">
        <v>61</v>
      </c>
      <c r="B73" s="110">
        <f>B72</f>
        <v>879.32</v>
      </c>
      <c r="C73" s="128">
        <f>C72</f>
        <v>832.19</v>
      </c>
      <c r="D73" s="104">
        <f t="shared" si="3"/>
        <v>94.640176500022747</v>
      </c>
      <c r="E73" s="110">
        <f>E72</f>
        <v>1585.28</v>
      </c>
      <c r="F73" s="142">
        <f>F72</f>
        <v>1500.31</v>
      </c>
      <c r="G73" s="100">
        <f t="shared" si="6"/>
        <v>94.640063584981831</v>
      </c>
    </row>
    <row r="74" spans="1:9" x14ac:dyDescent="0.25">
      <c r="A74" s="92" t="s">
        <v>62</v>
      </c>
      <c r="B74" s="99">
        <v>4562.43</v>
      </c>
      <c r="C74" s="119">
        <v>1765.44</v>
      </c>
      <c r="D74" s="100">
        <f t="shared" si="3"/>
        <v>38.695169021771292</v>
      </c>
      <c r="E74" s="136">
        <v>5100</v>
      </c>
      <c r="F74" s="137">
        <f>E74-590-273-1284.86-500-496</f>
        <v>1956.1400000000003</v>
      </c>
      <c r="G74" s="100">
        <f t="shared" si="6"/>
        <v>38.355686274509807</v>
      </c>
    </row>
    <row r="75" spans="1:9" x14ac:dyDescent="0.25">
      <c r="A75" s="92" t="s">
        <v>171</v>
      </c>
      <c r="B75" s="99">
        <f>5621+1412.5</f>
        <v>7033.5</v>
      </c>
      <c r="C75" s="119">
        <v>865</v>
      </c>
      <c r="D75" s="100">
        <f t="shared" si="3"/>
        <v>12.298286770455677</v>
      </c>
      <c r="E75" s="136">
        <f>14382.16-1929.5</f>
        <v>12452.66</v>
      </c>
      <c r="F75" s="137">
        <f>E75-2215-667.43-5000-600-2000-500</f>
        <v>1470.2299999999996</v>
      </c>
      <c r="G75" s="100">
        <f t="shared" si="6"/>
        <v>11.806553780477421</v>
      </c>
    </row>
    <row r="76" spans="1:9" x14ac:dyDescent="0.25">
      <c r="A76" s="145" t="s">
        <v>64</v>
      </c>
      <c r="B76" s="99">
        <f>10393.6+637</f>
        <v>11030.6</v>
      </c>
      <c r="C76" s="119">
        <v>1986</v>
      </c>
      <c r="D76" s="100">
        <f t="shared" si="3"/>
        <v>18.004460319474916</v>
      </c>
      <c r="E76" s="136">
        <v>13262.6</v>
      </c>
      <c r="F76" s="137">
        <f>E76-6892.5-710.85-2000-2000+500</f>
        <v>2159.25</v>
      </c>
      <c r="G76" s="100">
        <f t="shared" si="6"/>
        <v>16.280744348770227</v>
      </c>
      <c r="H76" s="144"/>
      <c r="I76" s="144"/>
    </row>
    <row r="77" spans="1:9" x14ac:dyDescent="0.25">
      <c r="A77" s="145" t="s">
        <v>65</v>
      </c>
      <c r="B77" s="99">
        <f>2020.5+621.96</f>
        <v>2642.46</v>
      </c>
      <c r="C77" s="119">
        <v>1046.1199999999999</v>
      </c>
      <c r="D77" s="100">
        <f t="shared" si="3"/>
        <v>39.588867948805273</v>
      </c>
      <c r="E77" s="136">
        <v>3681.41</v>
      </c>
      <c r="F77" s="137">
        <f>E77-1401-495</f>
        <v>1785.4099999999999</v>
      </c>
      <c r="G77" s="100">
        <f t="shared" si="6"/>
        <v>48.49799397513452</v>
      </c>
    </row>
    <row r="78" spans="1:9" x14ac:dyDescent="0.25">
      <c r="A78" s="92" t="s">
        <v>66</v>
      </c>
      <c r="B78" s="99">
        <f>3981.86-601.6</f>
        <v>3380.26</v>
      </c>
      <c r="C78" s="119">
        <v>1093.26</v>
      </c>
      <c r="D78" s="100">
        <f t="shared" si="3"/>
        <v>32.342482530929573</v>
      </c>
      <c r="E78" s="136">
        <v>2547.0100000000002</v>
      </c>
      <c r="F78" s="137">
        <f>E78-2094.5+400</f>
        <v>852.51000000000022</v>
      </c>
      <c r="G78" s="100">
        <f t="shared" si="6"/>
        <v>33.471011107141315</v>
      </c>
    </row>
    <row r="79" spans="1:9" ht="17.25" x14ac:dyDescent="0.4">
      <c r="A79" s="102" t="s">
        <v>67</v>
      </c>
      <c r="B79" s="108">
        <f>SUM(B74:B78)</f>
        <v>28649.25</v>
      </c>
      <c r="C79" s="126">
        <f>SUM(C74:C78)</f>
        <v>6755.8200000000006</v>
      </c>
      <c r="D79" s="104">
        <f t="shared" si="3"/>
        <v>23.581140867561981</v>
      </c>
      <c r="E79" s="108">
        <f>SUM(E74:E78)</f>
        <v>37043.68</v>
      </c>
      <c r="F79" s="142">
        <f>F74+F75+F76+F77+F78</f>
        <v>8223.5400000000009</v>
      </c>
      <c r="G79" s="100">
        <f t="shared" si="6"/>
        <v>22.199576283997704</v>
      </c>
    </row>
    <row r="80" spans="1:9" ht="12" hidden="1" customHeight="1" x14ac:dyDescent="0.25">
      <c r="A80" s="92" t="s">
        <v>68</v>
      </c>
      <c r="B80" s="93">
        <f ca="1">C80+D80+E80+F80+G80+H80+I80+J80+K80+L80+M80+N80+O80+P80+Q80+R80+S80+T80</f>
        <v>0</v>
      </c>
      <c r="C80" s="120">
        <f ca="1">D80+E80+F80+G80+H80+I80+J80+K80+L80+M80+N80+O80+P80+Q80+R80+S80+T80+U80</f>
        <v>0</v>
      </c>
      <c r="D80" s="94">
        <f t="shared" ca="1" si="3"/>
        <v>89.171687291536898</v>
      </c>
      <c r="E80" s="136"/>
      <c r="F80" s="137"/>
      <c r="G80" s="100"/>
    </row>
    <row r="81" spans="1:7" hidden="1" x14ac:dyDescent="0.25">
      <c r="A81" s="92" t="s">
        <v>69</v>
      </c>
      <c r="B81" s="98"/>
      <c r="C81" s="121"/>
      <c r="D81" s="94" t="e">
        <f t="shared" si="3"/>
        <v>#DIV/0!</v>
      </c>
      <c r="E81" s="136"/>
      <c r="F81" s="137"/>
      <c r="G81" s="100"/>
    </row>
    <row r="82" spans="1:7" hidden="1" x14ac:dyDescent="0.25">
      <c r="A82" s="96" t="s">
        <v>70</v>
      </c>
      <c r="B82" s="93">
        <f ca="1">B80</f>
        <v>0</v>
      </c>
      <c r="C82" s="120">
        <f ca="1">C80</f>
        <v>0</v>
      </c>
      <c r="D82" s="94">
        <f t="shared" ca="1" si="3"/>
        <v>89.171687291536898</v>
      </c>
      <c r="E82" s="136"/>
      <c r="F82" s="137"/>
      <c r="G82" s="100"/>
    </row>
    <row r="83" spans="1:7" x14ac:dyDescent="0.25">
      <c r="A83" s="92" t="s">
        <v>118</v>
      </c>
      <c r="B83" s="99">
        <v>9354</v>
      </c>
      <c r="C83" s="119">
        <v>9354</v>
      </c>
      <c r="D83" s="100">
        <f t="shared" si="3"/>
        <v>100</v>
      </c>
      <c r="E83" s="136">
        <v>7616.99</v>
      </c>
      <c r="F83" s="137">
        <v>7616.99</v>
      </c>
      <c r="G83" s="100">
        <f t="shared" ref="G83:G99" si="7">F83/E83*100</f>
        <v>100</v>
      </c>
    </row>
    <row r="84" spans="1:7" hidden="1" x14ac:dyDescent="0.25">
      <c r="A84" s="92" t="s">
        <v>72</v>
      </c>
      <c r="B84" s="99">
        <f ca="1">C84+D84+E84+F84+G84+H84+I84+J84+K84+L84+M84+N84+O84+P84+Q84+R84+S84+T84</f>
        <v>0</v>
      </c>
      <c r="C84" s="119">
        <f ca="1">D84+E84+F84+G84+H84+I84+J84+K84+L84+M84+N84+O84+P84+Q84+R84+S84+T84+U84</f>
        <v>0</v>
      </c>
      <c r="D84" s="100">
        <f t="shared" ca="1" si="3"/>
        <v>89.171687291536898</v>
      </c>
      <c r="E84" s="136"/>
      <c r="F84" s="137"/>
      <c r="G84" s="100" t="e">
        <f t="shared" si="7"/>
        <v>#DIV/0!</v>
      </c>
    </row>
    <row r="85" spans="1:7" x14ac:dyDescent="0.25">
      <c r="A85" s="92" t="s">
        <v>174</v>
      </c>
      <c r="B85" s="99">
        <v>13794.09</v>
      </c>
      <c r="C85" s="119">
        <v>7290</v>
      </c>
      <c r="D85" s="100">
        <f t="shared" si="3"/>
        <v>52.848719995302339</v>
      </c>
      <c r="E85" s="136">
        <v>14640.61</v>
      </c>
      <c r="F85" s="137">
        <v>9226.61</v>
      </c>
      <c r="G85" s="100">
        <f t="shared" si="7"/>
        <v>63.020666488623093</v>
      </c>
    </row>
    <row r="86" spans="1:7" x14ac:dyDescent="0.25">
      <c r="A86" s="92" t="s">
        <v>175</v>
      </c>
      <c r="B86" s="99">
        <v>0</v>
      </c>
      <c r="C86" s="119">
        <v>0</v>
      </c>
      <c r="D86" s="100">
        <v>0</v>
      </c>
      <c r="E86" s="136">
        <v>1747.31</v>
      </c>
      <c r="F86" s="137">
        <f>E86-380</f>
        <v>1367.31</v>
      </c>
      <c r="G86" s="100">
        <f t="shared" si="7"/>
        <v>78.252284940851936</v>
      </c>
    </row>
    <row r="87" spans="1:7" x14ac:dyDescent="0.25">
      <c r="A87" s="92" t="s">
        <v>74</v>
      </c>
      <c r="B87" s="99">
        <v>520.88</v>
      </c>
      <c r="C87" s="119">
        <v>520.88</v>
      </c>
      <c r="D87" s="100">
        <f>C87/B87*100</f>
        <v>100</v>
      </c>
      <c r="E87" s="136">
        <v>978.3</v>
      </c>
      <c r="F87" s="137">
        <v>422.6</v>
      </c>
      <c r="G87" s="100">
        <f t="shared" si="7"/>
        <v>43.197383215782487</v>
      </c>
    </row>
    <row r="88" spans="1:7" x14ac:dyDescent="0.25">
      <c r="A88" s="92" t="s">
        <v>75</v>
      </c>
      <c r="B88" s="99">
        <v>5671.94</v>
      </c>
      <c r="C88" s="119">
        <v>0</v>
      </c>
      <c r="D88" s="100">
        <v>0</v>
      </c>
      <c r="E88" s="136">
        <v>907.09</v>
      </c>
      <c r="F88" s="137">
        <v>0</v>
      </c>
      <c r="G88" s="100">
        <f t="shared" si="7"/>
        <v>0</v>
      </c>
    </row>
    <row r="89" spans="1:7" x14ac:dyDescent="0.25">
      <c r="A89" s="92" t="s">
        <v>170</v>
      </c>
      <c r="B89" s="99">
        <v>1517.25</v>
      </c>
      <c r="C89" s="119">
        <v>0</v>
      </c>
      <c r="D89" s="100">
        <v>0</v>
      </c>
      <c r="E89" s="136">
        <v>1302.45</v>
      </c>
      <c r="F89" s="137">
        <v>0</v>
      </c>
      <c r="G89" s="100">
        <f t="shared" si="7"/>
        <v>0</v>
      </c>
    </row>
    <row r="90" spans="1:7" x14ac:dyDescent="0.25">
      <c r="A90" s="92" t="s">
        <v>146</v>
      </c>
      <c r="B90" s="99">
        <v>755</v>
      </c>
      <c r="C90" s="119">
        <v>200</v>
      </c>
      <c r="D90" s="100">
        <f>C90/B90*100</f>
        <v>26.490066225165563</v>
      </c>
      <c r="E90" s="136">
        <v>878.01</v>
      </c>
      <c r="F90" s="137">
        <f>E90-199-450</f>
        <v>229.01</v>
      </c>
      <c r="G90" s="100">
        <f t="shared" si="7"/>
        <v>26.082846436828738</v>
      </c>
    </row>
    <row r="91" spans="1:7" x14ac:dyDescent="0.25">
      <c r="A91" s="92" t="s">
        <v>147</v>
      </c>
      <c r="B91" s="99">
        <v>50</v>
      </c>
      <c r="C91" s="119">
        <v>0</v>
      </c>
      <c r="D91" s="100">
        <v>0</v>
      </c>
      <c r="E91" s="136">
        <v>50</v>
      </c>
      <c r="F91" s="137">
        <v>0</v>
      </c>
      <c r="G91" s="100">
        <f t="shared" si="7"/>
        <v>0</v>
      </c>
    </row>
    <row r="92" spans="1:7" hidden="1" x14ac:dyDescent="0.25">
      <c r="A92" s="92" t="s">
        <v>75</v>
      </c>
      <c r="B92" s="99">
        <f t="shared" ref="B92:C96" ca="1" si="8">C92+D92+E92+F92+G92+H92+I92+J92+K92+L92+M92+N92+O92+P92+Q92+R92+S92+T92</f>
        <v>0</v>
      </c>
      <c r="C92" s="119">
        <f t="shared" ca="1" si="8"/>
        <v>0</v>
      </c>
      <c r="D92" s="100">
        <f ca="1">C92/B92*100</f>
        <v>89.171687291536898</v>
      </c>
      <c r="E92" s="136"/>
      <c r="F92" s="137"/>
      <c r="G92" s="100" t="e">
        <f t="shared" si="7"/>
        <v>#DIV/0!</v>
      </c>
    </row>
    <row r="93" spans="1:7" hidden="1" x14ac:dyDescent="0.25">
      <c r="A93" s="92" t="s">
        <v>75</v>
      </c>
      <c r="B93" s="99">
        <f t="shared" ca="1" si="8"/>
        <v>0</v>
      </c>
      <c r="C93" s="119">
        <f t="shared" ca="1" si="8"/>
        <v>0</v>
      </c>
      <c r="D93" s="100">
        <f ca="1">C93/B93*100</f>
        <v>89.171687291536898</v>
      </c>
      <c r="E93" s="136"/>
      <c r="F93" s="137"/>
      <c r="G93" s="100" t="e">
        <f t="shared" si="7"/>
        <v>#DIV/0!</v>
      </c>
    </row>
    <row r="94" spans="1:7" hidden="1" x14ac:dyDescent="0.25">
      <c r="A94" s="92" t="s">
        <v>75</v>
      </c>
      <c r="B94" s="99">
        <f t="shared" ca="1" si="8"/>
        <v>0</v>
      </c>
      <c r="C94" s="119">
        <f t="shared" ca="1" si="8"/>
        <v>0</v>
      </c>
      <c r="D94" s="100">
        <f ca="1">C94/B94*100</f>
        <v>89.171687291536898</v>
      </c>
      <c r="E94" s="136"/>
      <c r="F94" s="137"/>
      <c r="G94" s="100" t="e">
        <f t="shared" si="7"/>
        <v>#DIV/0!</v>
      </c>
    </row>
    <row r="95" spans="1:7" hidden="1" x14ac:dyDescent="0.25">
      <c r="A95" s="92" t="s">
        <v>75</v>
      </c>
      <c r="B95" s="99">
        <f t="shared" ca="1" si="8"/>
        <v>0</v>
      </c>
      <c r="C95" s="119">
        <f t="shared" ca="1" si="8"/>
        <v>0</v>
      </c>
      <c r="D95" s="100">
        <f ca="1">C95/B95*100</f>
        <v>89.171687291536898</v>
      </c>
      <c r="E95" s="136"/>
      <c r="F95" s="137"/>
      <c r="G95" s="100" t="e">
        <f t="shared" si="7"/>
        <v>#DIV/0!</v>
      </c>
    </row>
    <row r="96" spans="1:7" hidden="1" x14ac:dyDescent="0.25">
      <c r="A96" s="92" t="s">
        <v>75</v>
      </c>
      <c r="B96" s="99">
        <f t="shared" ca="1" si="8"/>
        <v>0</v>
      </c>
      <c r="C96" s="119">
        <f t="shared" ca="1" si="8"/>
        <v>0</v>
      </c>
      <c r="D96" s="100">
        <f ca="1">C96/B96*100</f>
        <v>89.171687291536898</v>
      </c>
      <c r="E96" s="136"/>
      <c r="F96" s="137"/>
      <c r="G96" s="100" t="e">
        <f t="shared" si="7"/>
        <v>#DIV/0!</v>
      </c>
    </row>
    <row r="97" spans="1:8" x14ac:dyDescent="0.25">
      <c r="A97" s="92" t="s">
        <v>148</v>
      </c>
      <c r="B97" s="99">
        <v>200</v>
      </c>
      <c r="C97" s="119">
        <v>0</v>
      </c>
      <c r="D97" s="100">
        <v>0</v>
      </c>
      <c r="E97" s="136">
        <v>183</v>
      </c>
      <c r="F97" s="137">
        <v>0</v>
      </c>
      <c r="G97" s="100">
        <f t="shared" si="7"/>
        <v>0</v>
      </c>
    </row>
    <row r="98" spans="1:8" hidden="1" x14ac:dyDescent="0.25">
      <c r="A98" s="92" t="s">
        <v>75</v>
      </c>
      <c r="B98" s="99">
        <v>0</v>
      </c>
      <c r="C98" s="119">
        <v>0</v>
      </c>
      <c r="D98" s="100" t="e">
        <f>C98/B98*100</f>
        <v>#DIV/0!</v>
      </c>
      <c r="E98" s="136"/>
      <c r="F98" s="137"/>
      <c r="G98" s="100" t="e">
        <f t="shared" si="7"/>
        <v>#DIV/0!</v>
      </c>
    </row>
    <row r="99" spans="1:8" x14ac:dyDescent="0.25">
      <c r="A99" s="92" t="s">
        <v>149</v>
      </c>
      <c r="B99" s="99">
        <v>2800.43</v>
      </c>
      <c r="C99" s="119">
        <v>0</v>
      </c>
      <c r="D99" s="100">
        <v>0</v>
      </c>
      <c r="E99" s="136">
        <v>2125.0700000000002</v>
      </c>
      <c r="F99" s="137">
        <v>0</v>
      </c>
      <c r="G99" s="100">
        <f t="shared" si="7"/>
        <v>0</v>
      </c>
    </row>
    <row r="100" spans="1:8" x14ac:dyDescent="0.25">
      <c r="A100" s="92" t="s">
        <v>150</v>
      </c>
      <c r="B100" s="99">
        <v>574</v>
      </c>
      <c r="C100" s="119">
        <v>84</v>
      </c>
      <c r="D100" s="100">
        <f>C100/B100*100</f>
        <v>14.634146341463413</v>
      </c>
      <c r="E100" s="136">
        <f>2987.21-1800-378.2</f>
        <v>809.01</v>
      </c>
      <c r="F100" s="137">
        <v>168</v>
      </c>
      <c r="G100" s="100">
        <f t="shared" ref="G100:G105" si="9">F100/E100*100</f>
        <v>20.766121555975822</v>
      </c>
    </row>
    <row r="101" spans="1:8" x14ac:dyDescent="0.25">
      <c r="A101" s="92" t="s">
        <v>178</v>
      </c>
      <c r="B101" s="99">
        <v>2661.11</v>
      </c>
      <c r="C101" s="119">
        <f>2661.11-911</f>
        <v>1750.1100000000001</v>
      </c>
      <c r="D101" s="100">
        <f>C101/B101*100</f>
        <v>65.766165246833083</v>
      </c>
      <c r="E101" s="136">
        <f>4782+20-0.56</f>
        <v>4801.4399999999996</v>
      </c>
      <c r="F101" s="137">
        <f>2519.98-500+2000</f>
        <v>4019.98</v>
      </c>
      <c r="G101" s="100">
        <f t="shared" si="9"/>
        <v>83.724465993535276</v>
      </c>
    </row>
    <row r="102" spans="1:8" hidden="1" x14ac:dyDescent="0.25">
      <c r="A102" s="92" t="s">
        <v>75</v>
      </c>
      <c r="B102" s="99">
        <f ca="1">C102+D102+E102+F102+G102+H102+I102+J102+K102+L102+M102+N102+O102+P102+Q102+R102+S102+T102</f>
        <v>0</v>
      </c>
      <c r="C102" s="119">
        <f ca="1">D102+E102+F102+G102+H102+I102+J102+K102+L102+M102+N102+O102+P102+Q102+R102+S102+T102+U102</f>
        <v>0</v>
      </c>
      <c r="D102" s="100">
        <f ca="1">C102/B102*100</f>
        <v>89.171687291536898</v>
      </c>
      <c r="E102" s="136"/>
      <c r="F102" s="137"/>
      <c r="G102" s="100" t="e">
        <f t="shared" si="9"/>
        <v>#DIV/0!</v>
      </c>
    </row>
    <row r="103" spans="1:8" hidden="1" x14ac:dyDescent="0.25">
      <c r="A103" s="92" t="s">
        <v>75</v>
      </c>
      <c r="B103" s="99">
        <v>0</v>
      </c>
      <c r="C103" s="119">
        <v>0</v>
      </c>
      <c r="D103" s="100"/>
      <c r="E103" s="136"/>
      <c r="F103" s="137"/>
      <c r="G103" s="100" t="e">
        <f t="shared" si="9"/>
        <v>#DIV/0!</v>
      </c>
    </row>
    <row r="104" spans="1:8" x14ac:dyDescent="0.25">
      <c r="A104" s="92" t="s">
        <v>89</v>
      </c>
      <c r="B104" s="99">
        <v>6112.77</v>
      </c>
      <c r="C104" s="119">
        <f>6112.77-0.52-780</f>
        <v>5332.25</v>
      </c>
      <c r="D104" s="100">
        <f>C104/B104*100</f>
        <v>87.231320661500419</v>
      </c>
      <c r="E104" s="136">
        <f>3932-47+0.08</f>
        <v>3885.08</v>
      </c>
      <c r="F104" s="137">
        <v>3885.08</v>
      </c>
      <c r="G104" s="100">
        <f t="shared" si="9"/>
        <v>100</v>
      </c>
    </row>
    <row r="105" spans="1:8" x14ac:dyDescent="0.25">
      <c r="A105" s="92" t="s">
        <v>151</v>
      </c>
      <c r="B105" s="99">
        <v>363.12</v>
      </c>
      <c r="C105" s="119">
        <v>363.12</v>
      </c>
      <c r="D105" s="100">
        <f>C105/B105*100</f>
        <v>100</v>
      </c>
      <c r="E105" s="136">
        <v>645.52</v>
      </c>
      <c r="F105" s="137">
        <v>645.52</v>
      </c>
      <c r="G105" s="100">
        <f t="shared" si="9"/>
        <v>100</v>
      </c>
    </row>
    <row r="106" spans="1:8" x14ac:dyDescent="0.25">
      <c r="A106" s="92" t="s">
        <v>152</v>
      </c>
      <c r="B106" s="99">
        <f>305+2376.5+600+658.88+202+175</f>
        <v>4317.38</v>
      </c>
      <c r="C106" s="119">
        <v>515</v>
      </c>
      <c r="D106" s="100">
        <f>C106/B106*100</f>
        <v>11.928530729284891</v>
      </c>
      <c r="E106" s="136">
        <v>7587.13</v>
      </c>
      <c r="F106" s="137">
        <f>E106-2805-555-1098-1500</f>
        <v>1629.13</v>
      </c>
      <c r="G106" s="100">
        <f>F106/E106*100</f>
        <v>21.47228266814988</v>
      </c>
      <c r="H106" s="144"/>
    </row>
    <row r="107" spans="1:8" x14ac:dyDescent="0.25">
      <c r="A107" s="92" t="s">
        <v>153</v>
      </c>
      <c r="B107" s="99">
        <f>1823.18</f>
        <v>1823.18</v>
      </c>
      <c r="C107" s="119">
        <v>1414</v>
      </c>
      <c r="D107" s="100">
        <f>C107/B107*100</f>
        <v>77.556796366787694</v>
      </c>
      <c r="E107" s="136">
        <v>1819</v>
      </c>
      <c r="F107" s="137">
        <v>1560</v>
      </c>
      <c r="G107" s="100">
        <f>F107/E107*100</f>
        <v>85.761407366684992</v>
      </c>
    </row>
    <row r="108" spans="1:8" hidden="1" x14ac:dyDescent="0.25">
      <c r="A108" s="92" t="s">
        <v>75</v>
      </c>
      <c r="B108" s="99">
        <f ca="1">C108+D108+E108+F108+G108+H108+I108+J108+K108+L108+M108+N108+O108+P108+Q108+R108+S108+T108</f>
        <v>0</v>
      </c>
      <c r="C108" s="119">
        <f ca="1">D108+E108+F108+G108+H108+I108+J108+K108+L108+M108+N108+O108+P108+Q108+R108+S108+T108+U108</f>
        <v>0</v>
      </c>
      <c r="D108" s="100">
        <f ca="1">C108/B108*100</f>
        <v>89.171687291536898</v>
      </c>
      <c r="E108" s="136"/>
      <c r="F108" s="137"/>
      <c r="G108" s="100"/>
    </row>
    <row r="109" spans="1:8" hidden="1" x14ac:dyDescent="0.25">
      <c r="A109" s="92" t="s">
        <v>75</v>
      </c>
      <c r="B109" s="99">
        <v>0</v>
      </c>
      <c r="C109" s="119">
        <v>0</v>
      </c>
      <c r="D109" s="100"/>
      <c r="E109" s="136"/>
      <c r="F109" s="137"/>
      <c r="G109" s="100"/>
    </row>
    <row r="110" spans="1:8" hidden="1" x14ac:dyDescent="0.25">
      <c r="A110" s="92" t="s">
        <v>75</v>
      </c>
      <c r="B110" s="99">
        <f ca="1">C110+D110+E110+F110+G110+H110+I110+J110+K110+L110+M110+N110+O110+P110+Q110+R110+S110+T110</f>
        <v>0</v>
      </c>
      <c r="C110" s="119">
        <f ca="1">D110+E110+F110+G110+H110+I110+J110+K110+L110+M110+N110+O110+P110+Q110+R110+S110+T110+U110</f>
        <v>0</v>
      </c>
      <c r="D110" s="100">
        <f ca="1">C110/B110*100</f>
        <v>89.171687291536898</v>
      </c>
      <c r="E110" s="136"/>
      <c r="F110" s="137"/>
      <c r="G110" s="100"/>
    </row>
    <row r="111" spans="1:8" hidden="1" x14ac:dyDescent="0.25">
      <c r="A111" s="92" t="s">
        <v>75</v>
      </c>
      <c r="B111" s="99">
        <f ca="1">C111+D111+E111+F111+G111+H111+I111+J111+K111+L111+M111+N111+O111+P111+Q111+R111+S111+T111</f>
        <v>0</v>
      </c>
      <c r="C111" s="119">
        <f ca="1">D111+E111+F111+G111+H111+I111+J111+K111+L111+M111+N111+O111+P111+Q111+R111+S111+T111+U111</f>
        <v>0</v>
      </c>
      <c r="D111" s="100">
        <f ca="1">C111/B111*100</f>
        <v>89.171687291536898</v>
      </c>
      <c r="E111" s="136"/>
      <c r="F111" s="137"/>
      <c r="G111" s="100"/>
    </row>
    <row r="112" spans="1:8" x14ac:dyDescent="0.25">
      <c r="A112" s="92" t="s">
        <v>154</v>
      </c>
      <c r="B112" s="99">
        <v>601.6</v>
      </c>
      <c r="C112" s="119">
        <v>0</v>
      </c>
      <c r="D112" s="100">
        <v>0</v>
      </c>
      <c r="E112" s="136">
        <v>820.36</v>
      </c>
      <c r="F112" s="137">
        <v>0</v>
      </c>
      <c r="G112" s="100">
        <f t="shared" ref="G112:G113" si="10">F112/E112*100</f>
        <v>0</v>
      </c>
    </row>
    <row r="113" spans="1:8" x14ac:dyDescent="0.25">
      <c r="A113" s="92" t="s">
        <v>182</v>
      </c>
      <c r="B113" s="99">
        <v>2000</v>
      </c>
      <c r="C113" s="119">
        <v>2000</v>
      </c>
      <c r="D113" s="100">
        <v>0</v>
      </c>
      <c r="E113" s="136">
        <v>3000</v>
      </c>
      <c r="F113" s="137">
        <v>3000</v>
      </c>
      <c r="G113" s="100">
        <f t="shared" si="10"/>
        <v>100</v>
      </c>
    </row>
    <row r="114" spans="1:8" hidden="1" x14ac:dyDescent="0.25">
      <c r="A114" s="92" t="s">
        <v>75</v>
      </c>
      <c r="B114" s="99">
        <f ca="1">C114+D114+E114+F114+G114+H114+I114+J114+K114+L114+M114+N114+O114+P114+Q114+R114+S114+T114</f>
        <v>0</v>
      </c>
      <c r="C114" s="119">
        <f ca="1">D114+E114+F114+G114+H114+I114+J114+K114+L114+M114+N114+O114+P114+Q114+R114+S114+T114+U114</f>
        <v>0</v>
      </c>
      <c r="D114" s="100">
        <f t="shared" ref="D114:D118" ca="1" si="11">C114/B114*100</f>
        <v>89.171687291536898</v>
      </c>
      <c r="E114" s="136"/>
      <c r="F114" s="137"/>
      <c r="G114" s="100"/>
    </row>
    <row r="115" spans="1:8" hidden="1" x14ac:dyDescent="0.25">
      <c r="A115" s="92" t="s">
        <v>75</v>
      </c>
      <c r="B115" s="99">
        <f ca="1">C115+D115+E115+F115+G115+H115+I115+J115+K115+L115+M115+N115+O115+P115+Q115+R115+S115+T115</f>
        <v>0</v>
      </c>
      <c r="C115" s="119">
        <f ca="1">D115+E115+F115+G115+H115+I115+J115+K115+L115+M115+N115+O115+P115+Q115+R115+S115+T115+U115</f>
        <v>0</v>
      </c>
      <c r="D115" s="100">
        <f t="shared" ca="1" si="11"/>
        <v>89.171687291536898</v>
      </c>
      <c r="E115" s="136"/>
      <c r="F115" s="137"/>
      <c r="G115" s="100"/>
    </row>
    <row r="116" spans="1:8" hidden="1" x14ac:dyDescent="0.25">
      <c r="A116" s="92" t="s">
        <v>75</v>
      </c>
      <c r="B116" s="101"/>
      <c r="C116" s="124"/>
      <c r="D116" s="100" t="e">
        <f t="shared" si="11"/>
        <v>#DIV/0!</v>
      </c>
      <c r="E116" s="136"/>
      <c r="F116" s="137"/>
      <c r="G116" s="100"/>
    </row>
    <row r="117" spans="1:8" hidden="1" x14ac:dyDescent="0.25">
      <c r="A117" s="92" t="s">
        <v>75</v>
      </c>
      <c r="B117" s="99">
        <f ca="1">C117+D117+E117+F117+G117+H117+I117+J117+K117+L117+M117+N117+O117+P117+Q117+R117+S117+T117</f>
        <v>0</v>
      </c>
      <c r="C117" s="119">
        <f ca="1">D117+E117+F117+G117+H117+I117+J117+K117+L117+M117+N117+O117+P117+Q117+R117+S117+T117+U117</f>
        <v>0</v>
      </c>
      <c r="D117" s="100">
        <f t="shared" ca="1" si="11"/>
        <v>89.171687291536898</v>
      </c>
      <c r="E117" s="136"/>
      <c r="F117" s="137"/>
      <c r="G117" s="100"/>
    </row>
    <row r="118" spans="1:8" x14ac:dyDescent="0.25">
      <c r="A118" s="92" t="s">
        <v>155</v>
      </c>
      <c r="B118" s="99">
        <f>10204.42+1706</f>
        <v>11910.42</v>
      </c>
      <c r="C118" s="119">
        <f>1899.08+412</f>
        <v>2311.08</v>
      </c>
      <c r="D118" s="100">
        <f t="shared" si="11"/>
        <v>19.40384973829638</v>
      </c>
      <c r="E118" s="136">
        <f>9648.23-4124.62-390+3759.31-147.56</f>
        <v>8745.36</v>
      </c>
      <c r="F118" s="137">
        <v>3031.12</v>
      </c>
      <c r="G118" s="100">
        <f t="shared" ref="G118:G123" si="12">F118/E118*100</f>
        <v>34.6597509993871</v>
      </c>
    </row>
    <row r="119" spans="1:8" x14ac:dyDescent="0.25">
      <c r="A119" s="92" t="s">
        <v>172</v>
      </c>
      <c r="B119" s="99">
        <v>3744.12</v>
      </c>
      <c r="C119" s="119">
        <v>758.5</v>
      </c>
      <c r="D119" s="100">
        <f>C119/B119*100</f>
        <v>20.258431887866841</v>
      </c>
      <c r="E119" s="136">
        <f>4854.27-645.52-587.04-357.67-80.28</f>
        <v>3183.7599999999998</v>
      </c>
      <c r="F119" s="137">
        <f>E119-2839.45+500+100</f>
        <v>944.31</v>
      </c>
      <c r="G119" s="100">
        <f t="shared" si="12"/>
        <v>29.660213081388044</v>
      </c>
    </row>
    <row r="120" spans="1:8" x14ac:dyDescent="0.25">
      <c r="A120" s="92" t="s">
        <v>173</v>
      </c>
      <c r="B120" s="99">
        <v>1701.12</v>
      </c>
      <c r="C120" s="119">
        <v>1701.12</v>
      </c>
      <c r="D120" s="100">
        <f>C120/B120*100</f>
        <v>100</v>
      </c>
      <c r="E120" s="136">
        <f>1144+587.04</f>
        <v>1731.04</v>
      </c>
      <c r="F120" s="137">
        <v>1731.04</v>
      </c>
      <c r="G120" s="100">
        <f t="shared" si="12"/>
        <v>100</v>
      </c>
    </row>
    <row r="121" spans="1:8" ht="17.25" x14ac:dyDescent="0.4">
      <c r="A121" s="111" t="s">
        <v>101</v>
      </c>
      <c r="B121" s="112">
        <v>99918.94</v>
      </c>
      <c r="C121" s="112">
        <f>C83+C85+C86+C87+C88+C89+C90+C91+C97+C99+C100+C101+C104+C105+C106+C107+C112+C113+C118+C119+C120</f>
        <v>33594.060000000005</v>
      </c>
      <c r="D121" s="107">
        <f>C121/B121*100</f>
        <v>33.62131343667177</v>
      </c>
      <c r="E121" s="112">
        <f>SUM(E83:E120)</f>
        <v>67456.529999999984</v>
      </c>
      <c r="F121" s="142">
        <f>F83+F85+F86+F87+F88+F89+F90+F91+F97+F99+F100+F101+F104+F105+F106+F107+F112+F113+F118+F119+F120</f>
        <v>39476.699999999997</v>
      </c>
      <c r="G121" s="100">
        <f t="shared" si="12"/>
        <v>58.521687967050795</v>
      </c>
    </row>
    <row r="122" spans="1:8" ht="17.25" x14ac:dyDescent="0.4">
      <c r="A122" s="113" t="s">
        <v>156</v>
      </c>
      <c r="B122" s="110">
        <f>B68+B71+B73+B121</f>
        <v>105715.86</v>
      </c>
      <c r="C122" s="128">
        <f>C66+C68+C71+C73+C79+C121</f>
        <v>45202.350000000006</v>
      </c>
      <c r="D122" s="104">
        <f>C122/B122*100</f>
        <v>42.75834297710864</v>
      </c>
      <c r="E122" s="110">
        <f>E66+E68+E71+E73+E79++E121</f>
        <v>115222.03999999998</v>
      </c>
      <c r="F122" s="142">
        <f>F66+F68+F71+F73+F79+F121</f>
        <v>55337.32</v>
      </c>
      <c r="G122" s="100">
        <f t="shared" si="12"/>
        <v>48.026679617892562</v>
      </c>
    </row>
    <row r="123" spans="1:8" ht="17.25" x14ac:dyDescent="0.4">
      <c r="A123" s="114" t="s">
        <v>157</v>
      </c>
      <c r="B123" s="106">
        <v>0</v>
      </c>
      <c r="C123" s="122">
        <v>0</v>
      </c>
      <c r="D123" s="107">
        <v>0</v>
      </c>
      <c r="E123" s="106">
        <v>369.97</v>
      </c>
      <c r="F123" s="137">
        <v>369.97</v>
      </c>
      <c r="G123" s="100">
        <f t="shared" si="12"/>
        <v>100</v>
      </c>
    </row>
    <row r="124" spans="1:8" ht="17.25" x14ac:dyDescent="0.4">
      <c r="A124" s="115" t="s">
        <v>104</v>
      </c>
      <c r="B124" s="108">
        <v>19473.7</v>
      </c>
      <c r="C124" s="126">
        <v>9118.35</v>
      </c>
      <c r="D124" s="104">
        <f t="shared" ref="D124:D142" si="13">C124/B124*100</f>
        <v>46.823921494117712</v>
      </c>
      <c r="E124" s="108">
        <v>29114.84</v>
      </c>
      <c r="F124" s="142">
        <f>E124-15017.43-1650-2000</f>
        <v>10447.41</v>
      </c>
      <c r="G124" s="100">
        <f>F124/E124*100</f>
        <v>35.883453249270822</v>
      </c>
    </row>
    <row r="125" spans="1:8" x14ac:dyDescent="0.25">
      <c r="A125" s="145" t="s">
        <v>158</v>
      </c>
      <c r="B125" s="99">
        <v>1110.78</v>
      </c>
      <c r="C125" s="119">
        <v>511.02</v>
      </c>
      <c r="D125" s="100">
        <f t="shared" si="13"/>
        <v>46.005509641873275</v>
      </c>
      <c r="E125" s="136">
        <v>1380.59</v>
      </c>
      <c r="F125" s="137">
        <f>E125-712.11-150+100</f>
        <v>618.4799999999999</v>
      </c>
      <c r="G125" s="100">
        <f t="shared" ref="G125:G130" si="14">F125/E125*100</f>
        <v>44.798238434292578</v>
      </c>
    </row>
    <row r="126" spans="1:8" x14ac:dyDescent="0.25">
      <c r="A126" s="145" t="s">
        <v>159</v>
      </c>
      <c r="B126" s="99">
        <f>2418.86-119.9</f>
        <v>2298.96</v>
      </c>
      <c r="C126" s="119">
        <v>858.56</v>
      </c>
      <c r="D126" s="100">
        <f t="shared" si="13"/>
        <v>37.345582350280118</v>
      </c>
      <c r="E126" s="136">
        <v>1712.08</v>
      </c>
      <c r="F126" s="137">
        <f>E126-883.09-150</f>
        <v>678.9899999999999</v>
      </c>
      <c r="G126" s="100">
        <f t="shared" si="14"/>
        <v>39.658777627213674</v>
      </c>
      <c r="H126" s="144"/>
    </row>
    <row r="127" spans="1:8" x14ac:dyDescent="0.25">
      <c r="A127" s="145" t="s">
        <v>160</v>
      </c>
      <c r="B127" s="99">
        <v>1161.48</v>
      </c>
      <c r="C127" s="119">
        <v>574.92999999999995</v>
      </c>
      <c r="D127" s="100">
        <f t="shared" si="13"/>
        <v>49.49977614767365</v>
      </c>
      <c r="E127" s="136">
        <v>1700</v>
      </c>
      <c r="F127" s="137">
        <f>E127-876.86-150</f>
        <v>673.14</v>
      </c>
      <c r="G127" s="100">
        <f t="shared" si="14"/>
        <v>39.596470588235292</v>
      </c>
    </row>
    <row r="128" spans="1:8" x14ac:dyDescent="0.25">
      <c r="A128" s="145" t="s">
        <v>177</v>
      </c>
      <c r="B128" s="99">
        <v>0</v>
      </c>
      <c r="C128" s="119">
        <v>0</v>
      </c>
      <c r="D128" s="100">
        <v>0</v>
      </c>
      <c r="E128" s="136">
        <v>460</v>
      </c>
      <c r="F128" s="137">
        <v>460</v>
      </c>
      <c r="G128" s="100">
        <f t="shared" si="14"/>
        <v>100</v>
      </c>
    </row>
    <row r="129" spans="1:7" ht="17.25" x14ac:dyDescent="0.4">
      <c r="A129" s="115" t="s">
        <v>161</v>
      </c>
      <c r="B129" s="108">
        <f>SUM(B125:B127)</f>
        <v>4571.2199999999993</v>
      </c>
      <c r="C129" s="126">
        <f>SUM(C125:C127)</f>
        <v>1944.5099999999998</v>
      </c>
      <c r="D129" s="104">
        <f t="shared" si="13"/>
        <v>42.538097050677933</v>
      </c>
      <c r="E129" s="108">
        <f>SUM(E125:E128)</f>
        <v>5252.67</v>
      </c>
      <c r="F129" s="142">
        <f>E129-2709.33-150+100</f>
        <v>2493.34</v>
      </c>
      <c r="G129" s="100">
        <f t="shared" si="14"/>
        <v>47.468049582402855</v>
      </c>
    </row>
    <row r="130" spans="1:7" ht="17.25" x14ac:dyDescent="0.4">
      <c r="A130" s="115" t="s">
        <v>162</v>
      </c>
      <c r="B130" s="108">
        <v>3061.86</v>
      </c>
      <c r="C130" s="126">
        <v>1468.03</v>
      </c>
      <c r="D130" s="104">
        <f t="shared" si="13"/>
        <v>47.945693140770643</v>
      </c>
      <c r="E130" s="108">
        <v>4687.4399999999996</v>
      </c>
      <c r="F130" s="142">
        <f>E130-2417.78-150+100</f>
        <v>2219.6599999999994</v>
      </c>
      <c r="G130" s="100">
        <f t="shared" si="14"/>
        <v>47.353352789582367</v>
      </c>
    </row>
    <row r="131" spans="1:7" ht="17.25" x14ac:dyDescent="0.4">
      <c r="A131" s="115" t="s">
        <v>163</v>
      </c>
      <c r="B131" s="116">
        <f t="shared" ref="B131:E131" si="15">B124+B129+B130</f>
        <v>27106.78</v>
      </c>
      <c r="C131" s="129">
        <f t="shared" si="15"/>
        <v>12530.890000000001</v>
      </c>
      <c r="D131" s="104">
        <f t="shared" si="13"/>
        <v>46.227880995086842</v>
      </c>
      <c r="E131" s="116">
        <f t="shared" si="15"/>
        <v>39054.950000000004</v>
      </c>
      <c r="F131" s="142">
        <f>F124+F129+F130</f>
        <v>15160.41</v>
      </c>
      <c r="G131" s="100">
        <f t="shared" ref="G131:G142" si="16">F131/E131*100</f>
        <v>38.818152372490552</v>
      </c>
    </row>
    <row r="132" spans="1:7" hidden="1" x14ac:dyDescent="0.25">
      <c r="A132" s="115" t="s">
        <v>75</v>
      </c>
      <c r="B132" s="108">
        <f ca="1">C132+D132+E132+F132+G132+H132+I132+J132+K132+L132+M132+N132+O132+P132+Q132+R132+S132</f>
        <v>0</v>
      </c>
      <c r="C132" s="126">
        <f ca="1">D132+E132+F132+G132+H132+I132+J132+K132+L132+M132+N132+O132+P132+Q132+R132+S132+T132</f>
        <v>0</v>
      </c>
      <c r="D132" s="104">
        <f t="shared" ca="1" si="13"/>
        <v>89.171687291536898</v>
      </c>
      <c r="E132" s="136"/>
      <c r="F132" s="137"/>
      <c r="G132" s="100" t="e">
        <f t="shared" si="16"/>
        <v>#DIV/0!</v>
      </c>
    </row>
    <row r="133" spans="1:7" ht="22.5" hidden="1" customHeight="1" x14ac:dyDescent="0.25">
      <c r="A133" s="102"/>
      <c r="B133" s="117"/>
      <c r="C133" s="130"/>
      <c r="D133" s="104" t="e">
        <f t="shared" si="13"/>
        <v>#DIV/0!</v>
      </c>
      <c r="E133" s="136"/>
      <c r="F133" s="137"/>
      <c r="G133" s="100" t="e">
        <f t="shared" si="16"/>
        <v>#DIV/0!</v>
      </c>
    </row>
    <row r="134" spans="1:7" hidden="1" x14ac:dyDescent="0.25">
      <c r="A134" s="102"/>
      <c r="B134" s="117"/>
      <c r="C134" s="130"/>
      <c r="D134" s="104" t="e">
        <f t="shared" si="13"/>
        <v>#DIV/0!</v>
      </c>
      <c r="E134" s="136"/>
      <c r="F134" s="137"/>
      <c r="G134" s="100" t="e">
        <f t="shared" si="16"/>
        <v>#DIV/0!</v>
      </c>
    </row>
    <row r="135" spans="1:7" hidden="1" x14ac:dyDescent="0.25">
      <c r="A135" s="102"/>
      <c r="B135" s="117"/>
      <c r="C135" s="130"/>
      <c r="D135" s="104" t="e">
        <f t="shared" si="13"/>
        <v>#DIV/0!</v>
      </c>
      <c r="E135" s="136"/>
      <c r="F135" s="137"/>
      <c r="G135" s="100" t="e">
        <f t="shared" si="16"/>
        <v>#DIV/0!</v>
      </c>
    </row>
    <row r="136" spans="1:7" hidden="1" x14ac:dyDescent="0.25">
      <c r="A136" s="102"/>
      <c r="B136" s="117"/>
      <c r="C136" s="130"/>
      <c r="D136" s="104" t="e">
        <f t="shared" si="13"/>
        <v>#DIV/0!</v>
      </c>
      <c r="E136" s="136"/>
      <c r="F136" s="137"/>
      <c r="G136" s="100" t="e">
        <f t="shared" si="16"/>
        <v>#DIV/0!</v>
      </c>
    </row>
    <row r="137" spans="1:7" hidden="1" x14ac:dyDescent="0.25">
      <c r="A137" s="102"/>
      <c r="B137" s="117"/>
      <c r="C137" s="130"/>
      <c r="D137" s="104" t="e">
        <f t="shared" si="13"/>
        <v>#DIV/0!</v>
      </c>
      <c r="E137" s="136"/>
      <c r="F137" s="137"/>
      <c r="G137" s="100" t="e">
        <f t="shared" si="16"/>
        <v>#DIV/0!</v>
      </c>
    </row>
    <row r="138" spans="1:7" hidden="1" x14ac:dyDescent="0.25">
      <c r="A138" s="102"/>
      <c r="B138" s="117"/>
      <c r="C138" s="130"/>
      <c r="D138" s="104" t="e">
        <f t="shared" si="13"/>
        <v>#DIV/0!</v>
      </c>
      <c r="E138" s="136"/>
      <c r="F138" s="137"/>
      <c r="G138" s="100" t="e">
        <f t="shared" si="16"/>
        <v>#DIV/0!</v>
      </c>
    </row>
    <row r="139" spans="1:7" hidden="1" x14ac:dyDescent="0.25">
      <c r="A139" s="102"/>
      <c r="B139" s="117"/>
      <c r="C139" s="130"/>
      <c r="D139" s="104" t="e">
        <f t="shared" si="13"/>
        <v>#DIV/0!</v>
      </c>
      <c r="E139" s="136"/>
      <c r="F139" s="137"/>
      <c r="G139" s="100" t="e">
        <f t="shared" si="16"/>
        <v>#DIV/0!</v>
      </c>
    </row>
    <row r="140" spans="1:7" ht="17.25" x14ac:dyDescent="0.4">
      <c r="A140" s="102" t="s">
        <v>112</v>
      </c>
      <c r="B140" s="108">
        <v>45.2</v>
      </c>
      <c r="C140" s="126">
        <v>45.2</v>
      </c>
      <c r="D140" s="104">
        <f t="shared" si="13"/>
        <v>100</v>
      </c>
      <c r="E140" s="108">
        <v>27</v>
      </c>
      <c r="F140" s="142">
        <v>27</v>
      </c>
      <c r="G140" s="100">
        <f t="shared" si="16"/>
        <v>100</v>
      </c>
    </row>
    <row r="141" spans="1:7" ht="17.25" x14ac:dyDescent="0.4">
      <c r="A141" s="102" t="s">
        <v>176</v>
      </c>
      <c r="B141" s="117">
        <v>148729</v>
      </c>
      <c r="C141" s="130">
        <f>C21+C63+C122+C123+C131+C140</f>
        <v>64240</v>
      </c>
      <c r="D141" s="104">
        <f t="shared" si="13"/>
        <v>43.192652408071055</v>
      </c>
      <c r="E141" s="117">
        <f>E63+E122+E123+E131+E140+E21</f>
        <v>189153.16999999998</v>
      </c>
      <c r="F141" s="142">
        <f>F21+F63+F122+F123+F131+F140</f>
        <v>78142.86</v>
      </c>
      <c r="G141" s="100">
        <f t="shared" si="16"/>
        <v>41.311948406680152</v>
      </c>
    </row>
    <row r="142" spans="1:7" ht="17.25" x14ac:dyDescent="0.4">
      <c r="A142" s="102" t="s">
        <v>181</v>
      </c>
      <c r="B142" s="103">
        <f>B17-B141-B21</f>
        <v>236.7200000000048</v>
      </c>
      <c r="C142" s="125">
        <f>C17-C141</f>
        <v>780</v>
      </c>
      <c r="D142" s="104">
        <f t="shared" si="13"/>
        <v>329.50321054409602</v>
      </c>
      <c r="E142" s="103">
        <f>E17-E141</f>
        <v>147.55999999999767</v>
      </c>
      <c r="F142" s="142">
        <f>F17-F21-F141</f>
        <v>757.13999999999942</v>
      </c>
      <c r="G142" s="100">
        <f t="shared" si="16"/>
        <v>513.10653293576263</v>
      </c>
    </row>
    <row r="144" spans="1:7" x14ac:dyDescent="0.25">
      <c r="A144" s="131" t="s">
        <v>184</v>
      </c>
    </row>
    <row r="145" spans="1:1" x14ac:dyDescent="0.25">
      <c r="A145" s="131" t="s">
        <v>185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FINANČNI PLAN 2019</vt:lpstr>
      <vt:lpstr>IZRAČUN INDEKS %</vt:lpstr>
      <vt:lpstr>BILANCA IZ ČLANARINE 2019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RAJKO</dc:creator>
  <cp:lastModifiedBy>ŠOLA ZDRAVJA</cp:lastModifiedBy>
  <cp:lastPrinted>2020-02-21T07:30:23Z</cp:lastPrinted>
  <dcterms:created xsi:type="dcterms:W3CDTF">2019-01-28T18:57:52Z</dcterms:created>
  <dcterms:modified xsi:type="dcterms:W3CDTF">2020-02-21T12:15:39Z</dcterms:modified>
</cp:coreProperties>
</file>